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drawings/drawing2.xml" ContentType="application/vnd.openxmlformats-officedocument.drawing+xml"/>
  <Override PartName="/xl/charts/chart7.xml" ContentType="application/vnd.openxmlformats-officedocument.drawingml.chart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 codeName="{4D1C537B-E38A-612A-F078-A93A15B4B7F4}"/>
  <workbookPr codeName="EstaPastaDeTrabalho"/>
  <mc:AlternateContent xmlns:mc="http://schemas.openxmlformats.org/markup-compatibility/2006">
    <mc:Choice Requires="x15">
      <x15ac:absPath xmlns:x15ac="http://schemas.microsoft.com/office/spreadsheetml/2010/11/ac" url="https://d.docs.live.net/e1d4e8f38ce44950/Eng. Civil/Fundações/TCC/"/>
    </mc:Choice>
  </mc:AlternateContent>
  <xr:revisionPtr revIDLastSave="342" documentId="8_{91C37DA5-3C45-478F-861D-4DB03FB1B238}" xr6:coauthVersionLast="47" xr6:coauthVersionMax="47" xr10:uidLastSave="{718F555B-55F3-4E0A-94A4-75739ACF44C1}"/>
  <bookViews>
    <workbookView showSheetTabs="0" xWindow="-120" yWindow="-120" windowWidth="20730" windowHeight="11040" xr2:uid="{00000000-000D-0000-FFFF-FFFF00000000}"/>
  </bookViews>
  <sheets>
    <sheet name="CAPA" sheetId="2" r:id="rId1"/>
    <sheet name="MEMORIAL" sheetId="6" r:id="rId2"/>
    <sheet name="CALCULO" sheetId="1" r:id="rId3"/>
    <sheet name="RECALQUE" sheetId="5" r:id="rId4"/>
    <sheet name="Compatibilidade" sheetId="3" r:id="rId5"/>
    <sheet name="Tabelas TCC" sheetId="7" r:id="rId6"/>
  </sheets>
  <functionGroups builtInGroupCount="19"/>
  <definedNames>
    <definedName name="_xlnm.Print_Area" localSheetId="0">CAPA!$B$2:$T$58</definedName>
    <definedName name="_xlnm.Print_Area" localSheetId="1">MEMORIAL!$A$1:$Q$54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85" i="2" l="1"/>
  <c r="M85" i="2"/>
  <c r="P85" i="2"/>
  <c r="S85" i="2"/>
  <c r="V85" i="2"/>
  <c r="I67" i="2"/>
  <c r="F79" i="2" l="1"/>
  <c r="F80" i="2"/>
  <c r="F81" i="2"/>
  <c r="U56" i="1"/>
  <c r="F61" i="7" l="1"/>
  <c r="F22" i="7"/>
  <c r="F24" i="7"/>
  <c r="F27" i="7"/>
  <c r="F28" i="7"/>
  <c r="F30" i="7"/>
  <c r="F32" i="7"/>
  <c r="F33" i="7"/>
  <c r="F34" i="7"/>
  <c r="F37" i="7"/>
  <c r="F38" i="7"/>
  <c r="F39" i="7"/>
  <c r="F41" i="7"/>
  <c r="F43" i="7"/>
  <c r="F44" i="7"/>
  <c r="F45" i="7"/>
  <c r="F46" i="7"/>
  <c r="F47" i="7"/>
  <c r="F48" i="7"/>
  <c r="F49" i="7"/>
  <c r="F50" i="7"/>
  <c r="F51" i="7"/>
  <c r="F52" i="7"/>
  <c r="F53" i="7"/>
  <c r="F54" i="7"/>
  <c r="F55" i="7"/>
  <c r="F56" i="7"/>
  <c r="F57" i="7"/>
  <c r="F58" i="7"/>
  <c r="F59" i="7"/>
  <c r="F60" i="7"/>
  <c r="F21" i="7"/>
  <c r="K22" i="7"/>
  <c r="K23" i="7"/>
  <c r="K24" i="7"/>
  <c r="K25" i="7"/>
  <c r="K26" i="7"/>
  <c r="K27" i="7"/>
  <c r="K28" i="7"/>
  <c r="K29" i="7"/>
  <c r="K30" i="7"/>
  <c r="K31" i="7"/>
  <c r="K32" i="7"/>
  <c r="K33" i="7"/>
  <c r="K34" i="7"/>
  <c r="K35" i="7"/>
  <c r="K36" i="7"/>
  <c r="K37" i="7"/>
  <c r="K38" i="7"/>
  <c r="K39" i="7"/>
  <c r="K40" i="7"/>
  <c r="K41" i="7"/>
  <c r="K42" i="7"/>
  <c r="K43" i="7"/>
  <c r="K44" i="7"/>
  <c r="K45" i="7"/>
  <c r="K46" i="7"/>
  <c r="K47" i="7"/>
  <c r="K48" i="7"/>
  <c r="K49" i="7"/>
  <c r="K50" i="7"/>
  <c r="K51" i="7"/>
  <c r="K52" i="7"/>
  <c r="K53" i="7"/>
  <c r="K54" i="7"/>
  <c r="K55" i="7"/>
  <c r="K56" i="7"/>
  <c r="K57" i="7"/>
  <c r="K58" i="7"/>
  <c r="K59" i="7"/>
  <c r="K60" i="7"/>
  <c r="K61" i="7"/>
  <c r="K21" i="7"/>
  <c r="H22" i="7"/>
  <c r="H23" i="7"/>
  <c r="H24" i="7"/>
  <c r="H25" i="7"/>
  <c r="H26" i="7"/>
  <c r="H27" i="7"/>
  <c r="H28" i="7"/>
  <c r="H29" i="7"/>
  <c r="H30" i="7"/>
  <c r="H31" i="7"/>
  <c r="H32" i="7"/>
  <c r="H33" i="7"/>
  <c r="H34" i="7"/>
  <c r="H35" i="7"/>
  <c r="H36" i="7"/>
  <c r="H37" i="7"/>
  <c r="H38" i="7"/>
  <c r="H39" i="7"/>
  <c r="H40" i="7"/>
  <c r="H41" i="7"/>
  <c r="H42" i="7"/>
  <c r="H43" i="7"/>
  <c r="H44" i="7"/>
  <c r="H45" i="7"/>
  <c r="H46" i="7"/>
  <c r="H47" i="7"/>
  <c r="H48" i="7"/>
  <c r="H49" i="7"/>
  <c r="H50" i="7"/>
  <c r="H51" i="7"/>
  <c r="H52" i="7"/>
  <c r="H53" i="7"/>
  <c r="H54" i="7"/>
  <c r="H55" i="7"/>
  <c r="H56" i="7"/>
  <c r="H57" i="7"/>
  <c r="H58" i="7"/>
  <c r="H59" i="7"/>
  <c r="H60" i="7"/>
  <c r="H61" i="7"/>
  <c r="H21" i="7"/>
  <c r="H4" i="7"/>
  <c r="N4" i="7"/>
  <c r="P4" i="7"/>
  <c r="H5" i="7"/>
  <c r="N5" i="7"/>
  <c r="P5" i="7"/>
  <c r="H6" i="7"/>
  <c r="N6" i="7"/>
  <c r="P6" i="7"/>
  <c r="H7" i="7"/>
  <c r="N7" i="7"/>
  <c r="P7" i="7"/>
  <c r="R7" i="7"/>
  <c r="H8" i="7"/>
  <c r="N8" i="7"/>
  <c r="P8" i="7"/>
  <c r="H9" i="7"/>
  <c r="N9" i="7"/>
  <c r="P9" i="7"/>
  <c r="H10" i="7"/>
  <c r="P10" i="7"/>
  <c r="H11" i="7"/>
  <c r="P11" i="7"/>
  <c r="H12" i="7"/>
  <c r="P12" i="7"/>
  <c r="H13" i="7"/>
  <c r="P13" i="7"/>
  <c r="H14" i="7"/>
  <c r="P14" i="7"/>
  <c r="H15" i="7"/>
  <c r="P15" i="7"/>
  <c r="H16" i="7"/>
  <c r="P16" i="7"/>
  <c r="H17" i="7"/>
  <c r="P17" i="7"/>
  <c r="AU4" i="7"/>
  <c r="AU5" i="7"/>
  <c r="AU6" i="7"/>
  <c r="AU7" i="7"/>
  <c r="AU8" i="7"/>
  <c r="AU9" i="7"/>
  <c r="AU10" i="7"/>
  <c r="AU11" i="7"/>
  <c r="AU12" i="7"/>
  <c r="AU3" i="7"/>
  <c r="AT4" i="7"/>
  <c r="AT5" i="7"/>
  <c r="AT6" i="7"/>
  <c r="AT7" i="7"/>
  <c r="AT8" i="7"/>
  <c r="AT9" i="7"/>
  <c r="AT10" i="7"/>
  <c r="AT11" i="7"/>
  <c r="AT12" i="7"/>
  <c r="AT3" i="7"/>
  <c r="AS5" i="7"/>
  <c r="AS6" i="7"/>
  <c r="AS7" i="7"/>
  <c r="AS8" i="7"/>
  <c r="AS9" i="7"/>
  <c r="AS10" i="7"/>
  <c r="AS11" i="7"/>
  <c r="AS12" i="7"/>
  <c r="AS3" i="7"/>
  <c r="AS4" i="7"/>
  <c r="AN12" i="7" l="1"/>
  <c r="AN9" i="7"/>
  <c r="AN10" i="7" s="1"/>
  <c r="AN6" i="7"/>
  <c r="AN7" i="7" s="1"/>
  <c r="AN3" i="7"/>
  <c r="AN4" i="7" s="1"/>
  <c r="I22" i="7"/>
  <c r="I23" i="7"/>
  <c r="I24" i="7"/>
  <c r="I25" i="7"/>
  <c r="I26" i="7"/>
  <c r="I27" i="7"/>
  <c r="I28" i="7"/>
  <c r="I29" i="7"/>
  <c r="I30" i="7"/>
  <c r="I31" i="7"/>
  <c r="I32" i="7"/>
  <c r="I33" i="7"/>
  <c r="I34" i="7"/>
  <c r="I35" i="7"/>
  <c r="I36" i="7"/>
  <c r="I37" i="7"/>
  <c r="I38" i="7"/>
  <c r="I39" i="7"/>
  <c r="I40" i="7"/>
  <c r="I41" i="7"/>
  <c r="I42" i="7"/>
  <c r="I43" i="7"/>
  <c r="I44" i="7"/>
  <c r="I45" i="7"/>
  <c r="I46" i="7"/>
  <c r="I47" i="7"/>
  <c r="I48" i="7"/>
  <c r="I49" i="7"/>
  <c r="I50" i="7"/>
  <c r="I51" i="7"/>
  <c r="I52" i="7"/>
  <c r="I53" i="7"/>
  <c r="I54" i="7"/>
  <c r="I55" i="7"/>
  <c r="I56" i="7"/>
  <c r="I57" i="7"/>
  <c r="I58" i="7"/>
  <c r="I59" i="7"/>
  <c r="I60" i="7"/>
  <c r="I61" i="7"/>
  <c r="I21" i="7"/>
  <c r="G22" i="7"/>
  <c r="G23" i="7"/>
  <c r="G24" i="7"/>
  <c r="G25" i="7"/>
  <c r="G26" i="7"/>
  <c r="G27" i="7"/>
  <c r="G28" i="7"/>
  <c r="G29" i="7"/>
  <c r="G30" i="7"/>
  <c r="G31" i="7"/>
  <c r="G32" i="7"/>
  <c r="G33" i="7"/>
  <c r="G34" i="7"/>
  <c r="G35" i="7"/>
  <c r="G36" i="7"/>
  <c r="G37" i="7"/>
  <c r="G38" i="7"/>
  <c r="G39" i="7"/>
  <c r="G40" i="7"/>
  <c r="G41" i="7"/>
  <c r="G42" i="7"/>
  <c r="G43" i="7"/>
  <c r="G44" i="7"/>
  <c r="G45" i="7"/>
  <c r="G46" i="7"/>
  <c r="G47" i="7"/>
  <c r="G48" i="7"/>
  <c r="G49" i="7"/>
  <c r="G50" i="7"/>
  <c r="G51" i="7"/>
  <c r="G52" i="7"/>
  <c r="G53" i="7"/>
  <c r="G54" i="7"/>
  <c r="G55" i="7"/>
  <c r="G56" i="7"/>
  <c r="G57" i="7"/>
  <c r="G58" i="7"/>
  <c r="G59" i="7"/>
  <c r="G60" i="7"/>
  <c r="G61" i="7"/>
  <c r="G21" i="7"/>
  <c r="E22" i="7"/>
  <c r="E23" i="7"/>
  <c r="E24" i="7"/>
  <c r="E25" i="7"/>
  <c r="E26" i="7"/>
  <c r="E27" i="7"/>
  <c r="E28" i="7"/>
  <c r="E29" i="7"/>
  <c r="E30" i="7"/>
  <c r="E31" i="7"/>
  <c r="E32" i="7"/>
  <c r="E33" i="7"/>
  <c r="E34" i="7"/>
  <c r="E35" i="7"/>
  <c r="E36" i="7"/>
  <c r="E37" i="7"/>
  <c r="E38" i="7"/>
  <c r="E39" i="7"/>
  <c r="E40" i="7"/>
  <c r="E41" i="7"/>
  <c r="E42" i="7"/>
  <c r="E43" i="7"/>
  <c r="E44" i="7"/>
  <c r="E45" i="7"/>
  <c r="E46" i="7"/>
  <c r="E47" i="7"/>
  <c r="E48" i="7"/>
  <c r="E49" i="7"/>
  <c r="E50" i="7"/>
  <c r="E51" i="7"/>
  <c r="E52" i="7"/>
  <c r="E53" i="7"/>
  <c r="E54" i="7"/>
  <c r="E55" i="7"/>
  <c r="E56" i="7"/>
  <c r="E57" i="7"/>
  <c r="E58" i="7"/>
  <c r="E59" i="7"/>
  <c r="E60" i="7"/>
  <c r="E61" i="7"/>
  <c r="E21" i="7"/>
  <c r="D22" i="7"/>
  <c r="D23" i="7"/>
  <c r="D24" i="7"/>
  <c r="D25" i="7"/>
  <c r="D26" i="7"/>
  <c r="D27" i="7"/>
  <c r="D28" i="7"/>
  <c r="D29" i="7"/>
  <c r="D30" i="7"/>
  <c r="D31" i="7"/>
  <c r="D32" i="7"/>
  <c r="D33" i="7"/>
  <c r="D34" i="7"/>
  <c r="D35" i="7"/>
  <c r="D36" i="7"/>
  <c r="D37" i="7"/>
  <c r="D38" i="7"/>
  <c r="D39" i="7"/>
  <c r="D40" i="7"/>
  <c r="D41" i="7"/>
  <c r="D42" i="7"/>
  <c r="D43" i="7"/>
  <c r="D44" i="7"/>
  <c r="D45" i="7"/>
  <c r="D46" i="7"/>
  <c r="D47" i="7"/>
  <c r="D48" i="7"/>
  <c r="D49" i="7"/>
  <c r="D50" i="7"/>
  <c r="D51" i="7"/>
  <c r="D52" i="7"/>
  <c r="D53" i="7"/>
  <c r="D54" i="7"/>
  <c r="D55" i="7"/>
  <c r="D56" i="7"/>
  <c r="D57" i="7"/>
  <c r="D58" i="7"/>
  <c r="D59" i="7"/>
  <c r="D60" i="7"/>
  <c r="D61" i="7"/>
  <c r="D21" i="7"/>
  <c r="C22" i="7"/>
  <c r="C23" i="7"/>
  <c r="C24" i="7"/>
  <c r="C25" i="7"/>
  <c r="C26" i="7"/>
  <c r="C27" i="7"/>
  <c r="C28" i="7"/>
  <c r="C29" i="7"/>
  <c r="C30" i="7"/>
  <c r="C31" i="7"/>
  <c r="C32" i="7"/>
  <c r="C33" i="7"/>
  <c r="C34" i="7"/>
  <c r="C35" i="7"/>
  <c r="C36" i="7"/>
  <c r="C37" i="7"/>
  <c r="C38" i="7"/>
  <c r="C39" i="7"/>
  <c r="C40" i="7"/>
  <c r="C41" i="7"/>
  <c r="C42" i="7"/>
  <c r="C43" i="7"/>
  <c r="C44" i="7"/>
  <c r="C45" i="7"/>
  <c r="C46" i="7"/>
  <c r="C47" i="7"/>
  <c r="C48" i="7"/>
  <c r="C49" i="7"/>
  <c r="C50" i="7"/>
  <c r="C51" i="7"/>
  <c r="C52" i="7"/>
  <c r="C53" i="7"/>
  <c r="C54" i="7"/>
  <c r="C55" i="7"/>
  <c r="C56" i="7"/>
  <c r="C57" i="7"/>
  <c r="C58" i="7"/>
  <c r="C59" i="7"/>
  <c r="C60" i="7"/>
  <c r="C61" i="7"/>
  <c r="C21" i="7"/>
  <c r="B21" i="7"/>
  <c r="B37" i="7"/>
  <c r="B38" i="7"/>
  <c r="B39" i="7"/>
  <c r="B40" i="7"/>
  <c r="B41" i="7"/>
  <c r="B42" i="7"/>
  <c r="B43" i="7"/>
  <c r="B44" i="7"/>
  <c r="B45" i="7"/>
  <c r="B46" i="7"/>
  <c r="B47" i="7"/>
  <c r="B48" i="7"/>
  <c r="B49" i="7"/>
  <c r="B50" i="7"/>
  <c r="B51" i="7"/>
  <c r="B52" i="7"/>
  <c r="B53" i="7"/>
  <c r="B54" i="7"/>
  <c r="B55" i="7"/>
  <c r="B56" i="7"/>
  <c r="B57" i="7"/>
  <c r="B58" i="7"/>
  <c r="B59" i="7"/>
  <c r="B60" i="7"/>
  <c r="B61" i="7"/>
  <c r="B34" i="7"/>
  <c r="B35" i="7"/>
  <c r="B36" i="7"/>
  <c r="B22" i="7"/>
  <c r="B23" i="7"/>
  <c r="B24" i="7"/>
  <c r="B25" i="7"/>
  <c r="B26" i="7"/>
  <c r="B27" i="7"/>
  <c r="B28" i="7"/>
  <c r="B29" i="7"/>
  <c r="B30" i="7"/>
  <c r="B31" i="7"/>
  <c r="B32" i="7"/>
  <c r="B33" i="7"/>
  <c r="AN14" i="7" l="1"/>
  <c r="Q5" i="6"/>
  <c r="P67" i="2"/>
  <c r="K21" i="6" s="1"/>
  <c r="K8" i="6"/>
  <c r="K7" i="6"/>
  <c r="H25" i="6"/>
  <c r="H24" i="6"/>
  <c r="H23" i="6"/>
  <c r="H19" i="6"/>
  <c r="H18" i="6"/>
  <c r="H17" i="6"/>
  <c r="H16" i="6"/>
  <c r="H7" i="6"/>
  <c r="H5" i="6"/>
  <c r="C6" i="6"/>
  <c r="D6" i="6"/>
  <c r="E6" i="6"/>
  <c r="C7" i="6"/>
  <c r="D7" i="6"/>
  <c r="E7" i="6"/>
  <c r="C8" i="6"/>
  <c r="D8" i="6"/>
  <c r="E8" i="6"/>
  <c r="C9" i="6"/>
  <c r="D9" i="6"/>
  <c r="E9" i="6"/>
  <c r="C10" i="6"/>
  <c r="D10" i="6"/>
  <c r="E10" i="6"/>
  <c r="C11" i="6"/>
  <c r="D11" i="6"/>
  <c r="E11" i="6"/>
  <c r="C12" i="6"/>
  <c r="D12" i="6"/>
  <c r="E12" i="6"/>
  <c r="C13" i="6"/>
  <c r="D13" i="6"/>
  <c r="E13" i="6"/>
  <c r="C14" i="6"/>
  <c r="D14" i="6"/>
  <c r="E14" i="6"/>
  <c r="C15" i="6"/>
  <c r="D15" i="6"/>
  <c r="E15" i="6"/>
  <c r="C16" i="6"/>
  <c r="D16" i="6"/>
  <c r="E16" i="6"/>
  <c r="C17" i="6"/>
  <c r="D17" i="6"/>
  <c r="E17" i="6"/>
  <c r="C18" i="6"/>
  <c r="D18" i="6"/>
  <c r="E18" i="6"/>
  <c r="C19" i="6"/>
  <c r="D19" i="6"/>
  <c r="E19" i="6"/>
  <c r="C20" i="6"/>
  <c r="D20" i="6"/>
  <c r="E20" i="6"/>
  <c r="C21" i="6"/>
  <c r="D21" i="6"/>
  <c r="E21" i="6"/>
  <c r="C22" i="6"/>
  <c r="D22" i="6"/>
  <c r="E22" i="6"/>
  <c r="C23" i="6"/>
  <c r="D23" i="6"/>
  <c r="E23" i="6"/>
  <c r="C24" i="6"/>
  <c r="D24" i="6"/>
  <c r="E24" i="6"/>
  <c r="C25" i="6"/>
  <c r="D25" i="6"/>
  <c r="E25" i="6"/>
  <c r="C26" i="6"/>
  <c r="D26" i="6"/>
  <c r="E26" i="6"/>
  <c r="C27" i="6"/>
  <c r="D27" i="6"/>
  <c r="E27" i="6"/>
  <c r="C28" i="6"/>
  <c r="D28" i="6"/>
  <c r="E28" i="6"/>
  <c r="C29" i="6"/>
  <c r="D29" i="6"/>
  <c r="E29" i="6"/>
  <c r="C30" i="6"/>
  <c r="D30" i="6"/>
  <c r="E30" i="6"/>
  <c r="C31" i="6"/>
  <c r="D31" i="6"/>
  <c r="E31" i="6"/>
  <c r="C32" i="6"/>
  <c r="D32" i="6"/>
  <c r="E32" i="6"/>
  <c r="C33" i="6"/>
  <c r="D33" i="6"/>
  <c r="E33" i="6"/>
  <c r="C34" i="6"/>
  <c r="D34" i="6"/>
  <c r="E34" i="6"/>
  <c r="C35" i="6"/>
  <c r="D35" i="6"/>
  <c r="E35" i="6"/>
  <c r="C36" i="6"/>
  <c r="D36" i="6"/>
  <c r="E36" i="6"/>
  <c r="C37" i="6"/>
  <c r="D37" i="6"/>
  <c r="E37" i="6"/>
  <c r="C38" i="6"/>
  <c r="D38" i="6"/>
  <c r="E38" i="6"/>
  <c r="C39" i="6"/>
  <c r="D39" i="6"/>
  <c r="E39" i="6"/>
  <c r="C40" i="6"/>
  <c r="D40" i="6"/>
  <c r="E40" i="6"/>
  <c r="C41" i="6"/>
  <c r="D41" i="6"/>
  <c r="E41" i="6"/>
  <c r="C42" i="6"/>
  <c r="D42" i="6"/>
  <c r="E42" i="6"/>
  <c r="C43" i="6"/>
  <c r="D43" i="6"/>
  <c r="E43" i="6"/>
  <c r="C44" i="6"/>
  <c r="D44" i="6"/>
  <c r="E44" i="6"/>
  <c r="C45" i="6"/>
  <c r="D45" i="6"/>
  <c r="E45" i="6"/>
  <c r="C46" i="6"/>
  <c r="D46" i="6"/>
  <c r="E46" i="6"/>
  <c r="C47" i="6"/>
  <c r="D47" i="6"/>
  <c r="E47" i="6"/>
  <c r="C48" i="6"/>
  <c r="D48" i="6"/>
  <c r="E48" i="6"/>
  <c r="C49" i="6"/>
  <c r="D49" i="6"/>
  <c r="E49" i="6"/>
  <c r="C50" i="6"/>
  <c r="D50" i="6"/>
  <c r="E50" i="6"/>
  <c r="C51" i="6"/>
  <c r="D51" i="6"/>
  <c r="E51" i="6"/>
  <c r="C52" i="6"/>
  <c r="D52" i="6"/>
  <c r="E52" i="6"/>
  <c r="C53" i="6"/>
  <c r="D53" i="6"/>
  <c r="E53" i="6"/>
  <c r="C54" i="6"/>
  <c r="D54" i="6"/>
  <c r="E54" i="6"/>
  <c r="D5" i="6"/>
  <c r="E5" i="6"/>
  <c r="C5" i="6"/>
  <c r="B6" i="6"/>
  <c r="B7" i="6" s="1"/>
  <c r="B8" i="6" s="1"/>
  <c r="B9" i="6" s="1"/>
  <c r="B10" i="6" s="1"/>
  <c r="B11" i="6" s="1"/>
  <c r="B12" i="6" s="1"/>
  <c r="B13" i="6" s="1"/>
  <c r="B14" i="6" s="1"/>
  <c r="B15" i="6" s="1"/>
  <c r="B16" i="6" s="1"/>
  <c r="B17" i="6" s="1"/>
  <c r="B18" i="6" s="1"/>
  <c r="B19" i="6" s="1"/>
  <c r="B20" i="6" s="1"/>
  <c r="B21" i="6" s="1"/>
  <c r="B22" i="6" s="1"/>
  <c r="B23" i="6" s="1"/>
  <c r="B24" i="6" s="1"/>
  <c r="B25" i="6" s="1"/>
  <c r="B26" i="6" s="1"/>
  <c r="B27" i="6" s="1"/>
  <c r="B28" i="6" s="1"/>
  <c r="B29" i="6" s="1"/>
  <c r="B30" i="6" s="1"/>
  <c r="B31" i="6" s="1"/>
  <c r="B32" i="6" s="1"/>
  <c r="B33" i="6" s="1"/>
  <c r="B34" i="6" s="1"/>
  <c r="B35" i="6" s="1"/>
  <c r="B36" i="6" s="1"/>
  <c r="B37" i="6" s="1"/>
  <c r="B38" i="6" s="1"/>
  <c r="B39" i="6" s="1"/>
  <c r="B40" i="6" s="1"/>
  <c r="B41" i="6" s="1"/>
  <c r="B42" i="6" s="1"/>
  <c r="B43" i="6" s="1"/>
  <c r="B44" i="6" s="1"/>
  <c r="B45" i="6" s="1"/>
  <c r="B46" i="6" s="1"/>
  <c r="B47" i="6" s="1"/>
  <c r="B48" i="6" s="1"/>
  <c r="B49" i="6" s="1"/>
  <c r="B50" i="6" s="1"/>
  <c r="B51" i="6" s="1"/>
  <c r="B52" i="6" s="1"/>
  <c r="B53" i="6" s="1"/>
  <c r="B54" i="6" s="1"/>
  <c r="AR53" i="3" l="1"/>
  <c r="AS53" i="3"/>
  <c r="AT53" i="3"/>
  <c r="AU53" i="3"/>
  <c r="AV53" i="3"/>
  <c r="AR54" i="3"/>
  <c r="AS54" i="3"/>
  <c r="AT54" i="3"/>
  <c r="AU54" i="3"/>
  <c r="AV54" i="3"/>
  <c r="AR55" i="3"/>
  <c r="AS55" i="3"/>
  <c r="AT55" i="3"/>
  <c r="AU55" i="3"/>
  <c r="AV55" i="3"/>
  <c r="AR56" i="3"/>
  <c r="AS56" i="3"/>
  <c r="AT56" i="3"/>
  <c r="AU56" i="3"/>
  <c r="AV56" i="3"/>
  <c r="AR57" i="3"/>
  <c r="AS57" i="3"/>
  <c r="AT57" i="3"/>
  <c r="AU57" i="3"/>
  <c r="AV57" i="3"/>
  <c r="AR58" i="3"/>
  <c r="AS58" i="3"/>
  <c r="AT58" i="3"/>
  <c r="AU58" i="3"/>
  <c r="AV58" i="3"/>
  <c r="AR59" i="3"/>
  <c r="AS59" i="3"/>
  <c r="AT59" i="3"/>
  <c r="AU59" i="3"/>
  <c r="AV59" i="3"/>
  <c r="AS52" i="3"/>
  <c r="AT52" i="3"/>
  <c r="AU52" i="3"/>
  <c r="AV52" i="3"/>
  <c r="AR52" i="3"/>
  <c r="AQ56" i="3"/>
  <c r="AT51" i="3"/>
  <c r="CI16" i="1" l="1"/>
  <c r="CI13" i="1"/>
  <c r="BV10" i="1" l="1"/>
  <c r="AH62" i="3"/>
  <c r="AI62" i="3" s="1"/>
  <c r="AI61" i="3"/>
  <c r="AI60" i="3"/>
  <c r="AI54" i="3"/>
  <c r="AI55" i="3"/>
  <c r="AI57" i="3"/>
  <c r="AI58" i="3"/>
  <c r="AI59" i="3"/>
  <c r="AI63" i="3"/>
  <c r="M83" i="2" l="1"/>
  <c r="BE4" i="5" l="1"/>
  <c r="BE5" i="5" l="1"/>
  <c r="BE8" i="5"/>
  <c r="AQ4" i="5"/>
  <c r="BE6" i="5" l="1"/>
  <c r="BE7" i="5"/>
  <c r="BE9" i="5"/>
  <c r="BE10" i="5"/>
  <c r="BE11" i="5"/>
  <c r="BE12" i="5"/>
  <c r="BE13" i="5"/>
  <c r="BE14" i="5"/>
  <c r="BE15" i="5"/>
  <c r="BE16" i="5"/>
  <c r="BE17" i="5"/>
  <c r="BE18" i="5"/>
  <c r="BE19" i="5"/>
  <c r="BE20" i="5"/>
  <c r="BE21" i="5"/>
  <c r="BE22" i="5"/>
  <c r="BE23" i="5"/>
  <c r="BE24" i="5"/>
  <c r="BE25" i="5"/>
  <c r="BE26" i="5"/>
  <c r="BE27" i="5"/>
  <c r="BE28" i="5"/>
  <c r="BE29" i="5"/>
  <c r="BE30" i="5"/>
  <c r="BE31" i="5"/>
  <c r="BE32" i="5"/>
  <c r="BE33" i="5"/>
  <c r="BE34" i="5"/>
  <c r="BE35" i="5"/>
  <c r="BE36" i="5"/>
  <c r="BE37" i="5"/>
  <c r="BE38" i="5"/>
  <c r="BE39" i="5"/>
  <c r="BE40" i="5"/>
  <c r="BE41" i="5"/>
  <c r="BE42" i="5"/>
  <c r="BE43" i="5"/>
  <c r="BE44" i="5"/>
  <c r="BE45" i="5"/>
  <c r="BE46" i="5"/>
  <c r="BE47" i="5"/>
  <c r="BE48" i="5"/>
  <c r="BE49" i="5"/>
  <c r="BE50" i="5"/>
  <c r="BE51" i="5"/>
  <c r="BE52" i="5"/>
  <c r="BI11" i="5" l="1" a="1"/>
  <c r="BI11" i="5" s="1"/>
  <c r="BI10" i="5" a="1"/>
  <c r="BI10" i="5" s="1"/>
  <c r="BI9" i="5" a="1"/>
  <c r="BI9" i="5" s="1"/>
  <c r="BI8" i="5" a="1"/>
  <c r="BI8" i="5" s="1"/>
  <c r="BI7" i="5" a="1"/>
  <c r="BI7" i="5" s="1"/>
  <c r="BI6" i="5" a="1"/>
  <c r="BI6" i="5" s="1"/>
  <c r="BI5" i="5" a="1"/>
  <c r="BI5" i="5" s="1"/>
  <c r="BI4" i="5"/>
  <c r="S83" i="2"/>
  <c r="P83" i="2"/>
  <c r="BG4" i="5" l="1"/>
  <c r="BH4" i="5" s="1"/>
  <c r="D52" i="5" l="1"/>
  <c r="C52" i="5"/>
  <c r="A52" i="5"/>
  <c r="D51" i="5"/>
  <c r="C51" i="5"/>
  <c r="A51" i="5"/>
  <c r="D50" i="5"/>
  <c r="C50" i="5"/>
  <c r="E50" i="5" s="1"/>
  <c r="A50" i="5"/>
  <c r="D49" i="5"/>
  <c r="C49" i="5"/>
  <c r="A49" i="5"/>
  <c r="D48" i="5"/>
  <c r="C48" i="5"/>
  <c r="A48" i="5"/>
  <c r="D47" i="5"/>
  <c r="C47" i="5"/>
  <c r="A47" i="5"/>
  <c r="D46" i="5"/>
  <c r="C46" i="5"/>
  <c r="A46" i="5"/>
  <c r="D45" i="5"/>
  <c r="C45" i="5"/>
  <c r="A45" i="5"/>
  <c r="D44" i="5"/>
  <c r="C44" i="5"/>
  <c r="A44" i="5"/>
  <c r="D43" i="5"/>
  <c r="C43" i="5"/>
  <c r="A43" i="5"/>
  <c r="D42" i="5"/>
  <c r="C42" i="5"/>
  <c r="E42" i="5" s="1"/>
  <c r="A42" i="5"/>
  <c r="D41" i="5"/>
  <c r="C41" i="5"/>
  <c r="A41" i="5"/>
  <c r="D40" i="5"/>
  <c r="C40" i="5"/>
  <c r="A40" i="5"/>
  <c r="D39" i="5"/>
  <c r="C39" i="5"/>
  <c r="A39" i="5"/>
  <c r="D38" i="5"/>
  <c r="C38" i="5"/>
  <c r="A38" i="5"/>
  <c r="D37" i="5"/>
  <c r="C37" i="5"/>
  <c r="A37" i="5"/>
  <c r="D36" i="5"/>
  <c r="C36" i="5"/>
  <c r="A36" i="5"/>
  <c r="D35" i="5"/>
  <c r="C35" i="5"/>
  <c r="A35" i="5"/>
  <c r="D34" i="5"/>
  <c r="C34" i="5"/>
  <c r="E34" i="5" s="1"/>
  <c r="A34" i="5"/>
  <c r="D33" i="5"/>
  <c r="C33" i="5"/>
  <c r="A33" i="5"/>
  <c r="D32" i="5"/>
  <c r="C32" i="5"/>
  <c r="A32" i="5"/>
  <c r="D31" i="5"/>
  <c r="C31" i="5"/>
  <c r="A31" i="5"/>
  <c r="D30" i="5"/>
  <c r="C30" i="5"/>
  <c r="A30" i="5"/>
  <c r="D29" i="5"/>
  <c r="C29" i="5"/>
  <c r="A29" i="5"/>
  <c r="D28" i="5"/>
  <c r="C28" i="5"/>
  <c r="A28" i="5"/>
  <c r="D27" i="5"/>
  <c r="C27" i="5"/>
  <c r="A27" i="5"/>
  <c r="D26" i="5"/>
  <c r="C26" i="5"/>
  <c r="E26" i="5" s="1"/>
  <c r="A26" i="5"/>
  <c r="D25" i="5"/>
  <c r="C25" i="5"/>
  <c r="A25" i="5"/>
  <c r="D24" i="5"/>
  <c r="C24" i="5"/>
  <c r="A24" i="5"/>
  <c r="D23" i="5"/>
  <c r="C23" i="5"/>
  <c r="A23" i="5"/>
  <c r="D22" i="5"/>
  <c r="C22" i="5"/>
  <c r="A22" i="5"/>
  <c r="D21" i="5"/>
  <c r="C21" i="5"/>
  <c r="A21" i="5"/>
  <c r="D20" i="5"/>
  <c r="C20" i="5"/>
  <c r="A20" i="5"/>
  <c r="D19" i="5"/>
  <c r="C19" i="5"/>
  <c r="A19" i="5"/>
  <c r="D18" i="5"/>
  <c r="C18" i="5"/>
  <c r="E18" i="5" s="1"/>
  <c r="A18" i="5"/>
  <c r="D17" i="5"/>
  <c r="C17" i="5"/>
  <c r="A17" i="5"/>
  <c r="D16" i="5"/>
  <c r="C16" i="5"/>
  <c r="A16" i="5"/>
  <c r="D15" i="5"/>
  <c r="C15" i="5"/>
  <c r="A15" i="5"/>
  <c r="D14" i="5"/>
  <c r="C14" i="5"/>
  <c r="A14" i="5"/>
  <c r="D13" i="5"/>
  <c r="C13" i="5"/>
  <c r="A13" i="5"/>
  <c r="D12" i="5"/>
  <c r="C12" i="5"/>
  <c r="A12" i="5"/>
  <c r="D11" i="5"/>
  <c r="C11" i="5"/>
  <c r="A11" i="5"/>
  <c r="D10" i="5"/>
  <c r="C10" i="5"/>
  <c r="A10" i="5"/>
  <c r="D9" i="5"/>
  <c r="C9" i="5"/>
  <c r="A9" i="5"/>
  <c r="D8" i="5"/>
  <c r="C8" i="5"/>
  <c r="A8" i="5"/>
  <c r="D7" i="5"/>
  <c r="C7" i="5"/>
  <c r="A7" i="5"/>
  <c r="D6" i="5"/>
  <c r="C6" i="5"/>
  <c r="A6" i="5"/>
  <c r="D5" i="5"/>
  <c r="C5" i="5"/>
  <c r="A5" i="5"/>
  <c r="AZ4" i="5"/>
  <c r="D4" i="5"/>
  <c r="C4" i="5"/>
  <c r="A4" i="5"/>
  <c r="A3" i="5"/>
  <c r="E23" i="3"/>
  <c r="D23" i="3"/>
  <c r="C23" i="3"/>
  <c r="M56" i="1"/>
  <c r="L56" i="1"/>
  <c r="M55" i="1"/>
  <c r="L55" i="1"/>
  <c r="U54" i="1" s="1"/>
  <c r="M54" i="1"/>
  <c r="L54" i="1"/>
  <c r="U53" i="1" s="1"/>
  <c r="M53" i="1"/>
  <c r="L53" i="1"/>
  <c r="U52" i="1" s="1"/>
  <c r="M52" i="1"/>
  <c r="L52" i="1"/>
  <c r="U51" i="1" s="1"/>
  <c r="M51" i="1"/>
  <c r="L51" i="1"/>
  <c r="U50" i="1" s="1"/>
  <c r="M50" i="1"/>
  <c r="L50" i="1"/>
  <c r="U49" i="1" s="1"/>
  <c r="M49" i="1"/>
  <c r="L49" i="1"/>
  <c r="U48" i="1" s="1"/>
  <c r="M48" i="1"/>
  <c r="L48" i="1"/>
  <c r="U47" i="1" s="1"/>
  <c r="M47" i="1"/>
  <c r="L47" i="1"/>
  <c r="U46" i="1" s="1"/>
  <c r="M46" i="1"/>
  <c r="L46" i="1"/>
  <c r="U45" i="1" s="1"/>
  <c r="M45" i="1"/>
  <c r="L45" i="1"/>
  <c r="U44" i="1" s="1"/>
  <c r="M44" i="1"/>
  <c r="L44" i="1"/>
  <c r="U43" i="1" s="1"/>
  <c r="M43" i="1"/>
  <c r="L43" i="1"/>
  <c r="U42" i="1" s="1"/>
  <c r="M42" i="1"/>
  <c r="L42" i="1"/>
  <c r="U41" i="1" s="1"/>
  <c r="M41" i="1"/>
  <c r="L41" i="1"/>
  <c r="U40" i="1" s="1"/>
  <c r="M40" i="1"/>
  <c r="L40" i="1"/>
  <c r="U39" i="1" s="1"/>
  <c r="M39" i="1"/>
  <c r="L39" i="1"/>
  <c r="U38" i="1" s="1"/>
  <c r="M38" i="1"/>
  <c r="L38" i="1"/>
  <c r="U37" i="1" s="1"/>
  <c r="M37" i="1"/>
  <c r="L37" i="1"/>
  <c r="U36" i="1" s="1"/>
  <c r="M36" i="1"/>
  <c r="L36" i="1"/>
  <c r="U35" i="1" s="1"/>
  <c r="M35" i="1"/>
  <c r="L35" i="1"/>
  <c r="U34" i="1" s="1"/>
  <c r="M34" i="1"/>
  <c r="L34" i="1"/>
  <c r="U33" i="1" s="1"/>
  <c r="M33" i="1"/>
  <c r="L33" i="1"/>
  <c r="U32" i="1" s="1"/>
  <c r="M32" i="1"/>
  <c r="L32" i="1"/>
  <c r="U31" i="1" s="1"/>
  <c r="CO31" i="1"/>
  <c r="CN31" i="1"/>
  <c r="CL31" i="1"/>
  <c r="M31" i="1"/>
  <c r="L31" i="1"/>
  <c r="U30" i="1" s="1"/>
  <c r="CO30" i="1"/>
  <c r="CN30" i="1"/>
  <c r="CL30" i="1"/>
  <c r="M30" i="1"/>
  <c r="L30" i="1"/>
  <c r="U29" i="1" s="1"/>
  <c r="CO29" i="1"/>
  <c r="CN29" i="1"/>
  <c r="CL29" i="1"/>
  <c r="M29" i="1"/>
  <c r="L29" i="1"/>
  <c r="U28" i="1" s="1"/>
  <c r="C29" i="1"/>
  <c r="CO28" i="1"/>
  <c r="CN28" i="1"/>
  <c r="CL28" i="1"/>
  <c r="CF28" i="1"/>
  <c r="M28" i="1"/>
  <c r="L28" i="1"/>
  <c r="U27" i="1" s="1"/>
  <c r="C28" i="1"/>
  <c r="V7" i="1" s="1"/>
  <c r="CO27" i="1"/>
  <c r="CN27" i="1"/>
  <c r="CL27" i="1"/>
  <c r="M27" i="1"/>
  <c r="L27" i="1"/>
  <c r="U26" i="1" s="1"/>
  <c r="CO26" i="1"/>
  <c r="CN26" i="1"/>
  <c r="CL26" i="1"/>
  <c r="CM26" i="1" s="1"/>
  <c r="M26" i="1"/>
  <c r="L26" i="1"/>
  <c r="U25" i="1" s="1"/>
  <c r="D26" i="1"/>
  <c r="D25" i="1" s="1"/>
  <c r="C26" i="1"/>
  <c r="C24" i="1" s="1"/>
  <c r="B26" i="1"/>
  <c r="B25" i="1" s="1"/>
  <c r="CO25" i="1"/>
  <c r="CN25" i="1"/>
  <c r="CL25" i="1"/>
  <c r="M25" i="1"/>
  <c r="L25" i="1"/>
  <c r="U24" i="1" s="1"/>
  <c r="CO24" i="1"/>
  <c r="CN24" i="1"/>
  <c r="CL24" i="1"/>
  <c r="M24" i="1"/>
  <c r="L24" i="1"/>
  <c r="U23" i="1" s="1"/>
  <c r="M23" i="1"/>
  <c r="L23" i="1"/>
  <c r="U22" i="1" s="1"/>
  <c r="C23" i="1"/>
  <c r="B23" i="1"/>
  <c r="CI22" i="1"/>
  <c r="M22" i="1"/>
  <c r="L22" i="1"/>
  <c r="U21" i="1" s="1"/>
  <c r="M21" i="1"/>
  <c r="L21" i="1"/>
  <c r="U20" i="1" s="1"/>
  <c r="M20" i="1"/>
  <c r="L20" i="1"/>
  <c r="U19" i="1" s="1"/>
  <c r="M19" i="1"/>
  <c r="L19" i="1"/>
  <c r="U18" i="1" s="1"/>
  <c r="CB18" i="1"/>
  <c r="CA18" i="1"/>
  <c r="BY18" i="1"/>
  <c r="BX18" i="1"/>
  <c r="BW18" i="1"/>
  <c r="BV18" i="1"/>
  <c r="BU18" i="1"/>
  <c r="BT18" i="1"/>
  <c r="M18" i="1"/>
  <c r="L18" i="1"/>
  <c r="U17" i="1" s="1"/>
  <c r="C18" i="1"/>
  <c r="BQ17" i="1"/>
  <c r="M17" i="1"/>
  <c r="L17" i="1"/>
  <c r="U16" i="1" s="1"/>
  <c r="BP16" i="1"/>
  <c r="M16" i="1"/>
  <c r="L16" i="1"/>
  <c r="U15" i="1" s="1"/>
  <c r="BQ15" i="1"/>
  <c r="M15" i="1"/>
  <c r="L15" i="1"/>
  <c r="U14" i="1" s="1"/>
  <c r="BQ14" i="1"/>
  <c r="M14" i="1"/>
  <c r="L14" i="1"/>
  <c r="U13" i="1" s="1"/>
  <c r="BQ13" i="1"/>
  <c r="M13" i="1"/>
  <c r="L13" i="1"/>
  <c r="U12" i="1" s="1"/>
  <c r="A13" i="1"/>
  <c r="CH12" i="1"/>
  <c r="BQ12" i="1"/>
  <c r="BQ16" i="1" s="1"/>
  <c r="M12" i="1"/>
  <c r="L12" i="1"/>
  <c r="U11" i="1" s="1"/>
  <c r="A12" i="1"/>
  <c r="CH11" i="1"/>
  <c r="BV11" i="1"/>
  <c r="BQ11" i="1"/>
  <c r="M11" i="1"/>
  <c r="L11" i="1"/>
  <c r="U10" i="1" s="1"/>
  <c r="A11" i="1"/>
  <c r="CH10" i="1"/>
  <c r="M10" i="1"/>
  <c r="L10" i="1"/>
  <c r="U9" i="1" s="1"/>
  <c r="A10" i="1"/>
  <c r="DA9" i="1"/>
  <c r="CZ9" i="1"/>
  <c r="CY9" i="1"/>
  <c r="CX9" i="1"/>
  <c r="CW9" i="1"/>
  <c r="CV9" i="1"/>
  <c r="CU9" i="1"/>
  <c r="CH9" i="1"/>
  <c r="BV9" i="1"/>
  <c r="BQ9" i="1"/>
  <c r="M9" i="1"/>
  <c r="L9" i="1"/>
  <c r="U8" i="1" s="1"/>
  <c r="CH8" i="1"/>
  <c r="BV8" i="1"/>
  <c r="BQ8" i="1"/>
  <c r="M8" i="1"/>
  <c r="L8" i="1"/>
  <c r="U7" i="1" s="1"/>
  <c r="C8" i="1"/>
  <c r="M7" i="1"/>
  <c r="L7" i="1"/>
  <c r="M6" i="1"/>
  <c r="C5" i="1"/>
  <c r="B1" i="1"/>
  <c r="C13" i="1" s="1"/>
  <c r="V88" i="2"/>
  <c r="S88" i="2"/>
  <c r="P88" i="2"/>
  <c r="M88" i="2"/>
  <c r="I88" i="2"/>
  <c r="V87" i="2"/>
  <c r="V96" i="2" s="1"/>
  <c r="S87" i="2"/>
  <c r="S97" i="2" s="1"/>
  <c r="P87" i="2"/>
  <c r="P96" i="2" s="1"/>
  <c r="M87" i="2"/>
  <c r="I87" i="2"/>
  <c r="F87" i="2"/>
  <c r="F86" i="2"/>
  <c r="H13" i="6" s="1"/>
  <c r="F85" i="2"/>
  <c r="F83" i="2"/>
  <c r="F82" i="2"/>
  <c r="S73" i="2"/>
  <c r="F67" i="2"/>
  <c r="K4" i="6" s="1"/>
  <c r="F66" i="2"/>
  <c r="F65" i="2"/>
  <c r="F64" i="2"/>
  <c r="I16" i="2"/>
  <c r="C9" i="2"/>
  <c r="C10" i="2" s="1"/>
  <c r="C11" i="2" s="1"/>
  <c r="C12" i="2" s="1"/>
  <c r="C13" i="2" s="1"/>
  <c r="C14" i="2" s="1"/>
  <c r="C15" i="2" s="1"/>
  <c r="C16" i="2" s="1"/>
  <c r="C17" i="2" s="1"/>
  <c r="C18" i="2" s="1"/>
  <c r="C19" i="2" s="1"/>
  <c r="C20" i="2" s="1"/>
  <c r="C21" i="2" s="1"/>
  <c r="C22" i="2" s="1"/>
  <c r="C23" i="2" s="1"/>
  <c r="C24" i="2" s="1"/>
  <c r="C25" i="2" s="1"/>
  <c r="C26" i="2" s="1"/>
  <c r="C27" i="2" s="1"/>
  <c r="C28" i="2" s="1"/>
  <c r="C29" i="2" s="1"/>
  <c r="C30" i="2" s="1"/>
  <c r="C31" i="2" s="1"/>
  <c r="C32" i="2" s="1"/>
  <c r="M3" i="2"/>
  <c r="R2" i="2" s="1"/>
  <c r="K3" i="2"/>
  <c r="O3" i="2" s="1"/>
  <c r="R3" i="2" s="1"/>
  <c r="S2" i="2"/>
  <c r="I2" i="2"/>
  <c r="M2" i="2" s="1"/>
  <c r="O2" i="2" s="1"/>
  <c r="P2" i="2" s="1"/>
  <c r="H2" i="2"/>
  <c r="H3" i="2" s="1"/>
  <c r="P3" i="2" s="1"/>
  <c r="S3" i="2" s="1"/>
  <c r="AV15" i="1"/>
  <c r="AV53" i="1"/>
  <c r="AV55" i="1"/>
  <c r="AV26" i="1"/>
  <c r="AV42" i="1"/>
  <c r="AV30" i="1"/>
  <c r="AV27" i="1"/>
  <c r="AV8" i="1"/>
  <c r="AV52" i="1"/>
  <c r="AV46" i="1"/>
  <c r="AV38" i="1"/>
  <c r="AV24" i="1"/>
  <c r="AV10" i="1"/>
  <c r="AV28" i="1"/>
  <c r="AV14" i="1"/>
  <c r="AV11" i="1"/>
  <c r="AV43" i="1"/>
  <c r="AV40" i="1"/>
  <c r="AV37" i="1"/>
  <c r="AV54" i="1"/>
  <c r="AV31" i="1"/>
  <c r="AV36" i="1"/>
  <c r="AV35" i="1"/>
  <c r="AV7" i="1"/>
  <c r="AV56" i="1"/>
  <c r="AV49" i="1"/>
  <c r="AV9" i="1"/>
  <c r="AV32" i="1"/>
  <c r="AV51" i="1"/>
  <c r="AV47" i="1"/>
  <c r="AV33" i="1"/>
  <c r="AV12" i="1"/>
  <c r="AV50" i="1"/>
  <c r="AV39" i="1"/>
  <c r="AV41" i="1"/>
  <c r="AV25" i="1"/>
  <c r="AV29" i="1"/>
  <c r="AV45" i="1"/>
  <c r="AV44" i="1"/>
  <c r="AV20" i="1"/>
  <c r="AV23" i="1"/>
  <c r="AV18" i="1"/>
  <c r="AV19" i="1"/>
  <c r="AV21" i="1"/>
  <c r="AV17" i="1"/>
  <c r="AV22" i="1"/>
  <c r="AV13" i="1"/>
  <c r="AV16" i="1"/>
  <c r="AV34" i="1"/>
  <c r="AV48" i="1"/>
  <c r="I97" i="2" l="1"/>
  <c r="K18" i="6" s="1"/>
  <c r="I90" i="2"/>
  <c r="H12" i="6"/>
  <c r="P75" i="2"/>
  <c r="H6" i="6"/>
  <c r="E8" i="5"/>
  <c r="E16" i="5"/>
  <c r="E24" i="5"/>
  <c r="E32" i="5"/>
  <c r="E9" i="5"/>
  <c r="E17" i="5"/>
  <c r="E25" i="5"/>
  <c r="E33" i="5"/>
  <c r="E41" i="5"/>
  <c r="E49" i="5"/>
  <c r="E40" i="5"/>
  <c r="E48" i="5"/>
  <c r="AI56" i="1"/>
  <c r="U55" i="1"/>
  <c r="K5" i="6"/>
  <c r="P64" i="2"/>
  <c r="E6" i="5"/>
  <c r="E14" i="5"/>
  <c r="E22" i="5"/>
  <c r="E30" i="5"/>
  <c r="K6" i="6"/>
  <c r="E38" i="5"/>
  <c r="E10" i="5"/>
  <c r="E4" i="5"/>
  <c r="E5" i="5"/>
  <c r="E13" i="5"/>
  <c r="E21" i="5"/>
  <c r="E29" i="5"/>
  <c r="E37" i="5"/>
  <c r="E45" i="5"/>
  <c r="N11" i="6"/>
  <c r="H22" i="6"/>
  <c r="E11" i="5"/>
  <c r="E19" i="5"/>
  <c r="E27" i="5"/>
  <c r="E35" i="5"/>
  <c r="E43" i="5"/>
  <c r="E51" i="5"/>
  <c r="E46" i="5"/>
  <c r="E12" i="5"/>
  <c r="E20" i="5"/>
  <c r="E28" i="5"/>
  <c r="E36" i="5"/>
  <c r="E44" i="5"/>
  <c r="E52" i="5"/>
  <c r="E7" i="5"/>
  <c r="E15" i="5"/>
  <c r="E23" i="5"/>
  <c r="E31" i="5"/>
  <c r="E39" i="5"/>
  <c r="E47" i="5"/>
  <c r="P74" i="2"/>
  <c r="H11" i="6"/>
  <c r="CM24" i="1"/>
  <c r="AW52" i="3"/>
  <c r="CM29" i="1"/>
  <c r="AW57" i="3"/>
  <c r="CM30" i="1"/>
  <c r="AW58" i="3"/>
  <c r="CP31" i="1"/>
  <c r="AW59" i="3"/>
  <c r="CP30" i="1"/>
  <c r="CM28" i="1"/>
  <c r="AW56" i="3"/>
  <c r="CM27" i="1"/>
  <c r="AW55" i="3"/>
  <c r="CP29" i="1"/>
  <c r="CP25" i="1"/>
  <c r="AW53" i="3"/>
  <c r="CP26" i="1"/>
  <c r="AW54" i="3"/>
  <c r="CM31" i="1"/>
  <c r="AW7" i="1"/>
  <c r="AW8" i="1" s="1"/>
  <c r="AW9" i="1" s="1"/>
  <c r="AJ10" i="1" s="1"/>
  <c r="AH56" i="3"/>
  <c r="AI56" i="3" s="1"/>
  <c r="BP10" i="1"/>
  <c r="CP28" i="1"/>
  <c r="AT3" i="5"/>
  <c r="AU3" i="5" s="1"/>
  <c r="CP27" i="1"/>
  <c r="AW4" i="5"/>
  <c r="AX4" i="5" s="1"/>
  <c r="AE4" i="5"/>
  <c r="AF4" i="5" s="1"/>
  <c r="AN4" i="5"/>
  <c r="AO4" i="5" s="1"/>
  <c r="CP24" i="1"/>
  <c r="AI28" i="1"/>
  <c r="CM25" i="1"/>
  <c r="AT4" i="5"/>
  <c r="AU4" i="5" s="1"/>
  <c r="J4" i="5"/>
  <c r="J5" i="5" s="1"/>
  <c r="J6" i="5" s="1"/>
  <c r="J7" i="5" s="1"/>
  <c r="J8" i="5" s="1"/>
  <c r="M96" i="2"/>
  <c r="S4" i="5" s="1"/>
  <c r="AJ7" i="1"/>
  <c r="M90" i="2"/>
  <c r="AY7" i="1"/>
  <c r="N25" i="1"/>
  <c r="N17" i="1"/>
  <c r="W7" i="1"/>
  <c r="Y7" i="1" s="1"/>
  <c r="AZ7" i="1"/>
  <c r="N15" i="1"/>
  <c r="AI11" i="1"/>
  <c r="AI14" i="1"/>
  <c r="N21" i="1"/>
  <c r="N23" i="1"/>
  <c r="AI37" i="1"/>
  <c r="AI41" i="1"/>
  <c r="AI45" i="1"/>
  <c r="AI49" i="1"/>
  <c r="AI51" i="1"/>
  <c r="AI53" i="1"/>
  <c r="AI8" i="1"/>
  <c r="B24" i="1"/>
  <c r="AI33" i="1"/>
  <c r="AI9" i="1"/>
  <c r="AI12" i="1"/>
  <c r="AI23" i="1"/>
  <c r="D24" i="1"/>
  <c r="F28" i="1"/>
  <c r="F14" i="1"/>
  <c r="O14" i="1" s="1"/>
  <c r="F12" i="1"/>
  <c r="O12" i="1" s="1"/>
  <c r="F11" i="1"/>
  <c r="O11" i="1" s="1"/>
  <c r="F8" i="1"/>
  <c r="C33" i="2"/>
  <c r="C34" i="2" s="1"/>
  <c r="C35" i="2" s="1"/>
  <c r="C36" i="2" s="1"/>
  <c r="C37" i="2" s="1"/>
  <c r="C38" i="2" s="1"/>
  <c r="C39" i="2" s="1"/>
  <c r="C40" i="2" s="1"/>
  <c r="C41" i="2" s="1"/>
  <c r="C42" i="2" s="1"/>
  <c r="C43" i="2" s="1"/>
  <c r="C44" i="2" s="1"/>
  <c r="C45" i="2" s="1"/>
  <c r="C46" i="2" s="1"/>
  <c r="C47" i="2" s="1"/>
  <c r="C48" i="2" s="1"/>
  <c r="C49" i="2" s="1"/>
  <c r="C50" i="2" s="1"/>
  <c r="C51" i="2" s="1"/>
  <c r="C52" i="2" s="1"/>
  <c r="C53" i="2" s="1"/>
  <c r="C54" i="2" s="1"/>
  <c r="C55" i="2" s="1"/>
  <c r="C56" i="2" s="1"/>
  <c r="C57" i="2" s="1"/>
  <c r="F25" i="1"/>
  <c r="F7" i="1"/>
  <c r="H7" i="1" s="1"/>
  <c r="AD7" i="1" s="1"/>
  <c r="F27" i="1"/>
  <c r="F26" i="1"/>
  <c r="I26" i="1" s="1"/>
  <c r="F22" i="1"/>
  <c r="O22" i="1" s="1"/>
  <c r="F19" i="1"/>
  <c r="O19" i="1" s="1"/>
  <c r="F18" i="1"/>
  <c r="F16" i="1"/>
  <c r="I16" i="1" s="1"/>
  <c r="F9" i="1"/>
  <c r="G9" i="1" s="1"/>
  <c r="F29" i="1"/>
  <c r="F24" i="1"/>
  <c r="G24" i="1" s="1"/>
  <c r="F21" i="1"/>
  <c r="O21" i="1" s="1"/>
  <c r="F20" i="1"/>
  <c r="P20" i="1" s="1"/>
  <c r="I17" i="5" s="1"/>
  <c r="F15" i="1"/>
  <c r="F13" i="1"/>
  <c r="O13" i="1" s="1"/>
  <c r="F10" i="1"/>
  <c r="P10" i="1" s="1"/>
  <c r="I7" i="5" s="1"/>
  <c r="F23" i="1"/>
  <c r="J23" i="1" s="1"/>
  <c r="F17" i="1"/>
  <c r="O17" i="1" s="1"/>
  <c r="K2" i="2"/>
  <c r="AI7" i="1"/>
  <c r="AI17" i="1"/>
  <c r="N18" i="1"/>
  <c r="AC21" i="1"/>
  <c r="AQ21" i="1" s="1"/>
  <c r="AC23" i="1"/>
  <c r="AQ23" i="1" s="1"/>
  <c r="AI31" i="1"/>
  <c r="AI32" i="1"/>
  <c r="AI36" i="1"/>
  <c r="AI40" i="1"/>
  <c r="AI44" i="1"/>
  <c r="AI48" i="1"/>
  <c r="AI52" i="1"/>
  <c r="AI55" i="1"/>
  <c r="AC8" i="1"/>
  <c r="AQ8" i="1" s="1"/>
  <c r="AI10" i="1"/>
  <c r="N11" i="1"/>
  <c r="AI13" i="1"/>
  <c r="N14" i="1"/>
  <c r="AI15" i="1"/>
  <c r="AI21" i="1"/>
  <c r="AI24" i="1"/>
  <c r="C25" i="1"/>
  <c r="AI25" i="1"/>
  <c r="AI35" i="1"/>
  <c r="AI39" i="1"/>
  <c r="AI43" i="1"/>
  <c r="AI47" i="1"/>
  <c r="AI54" i="1"/>
  <c r="AI30" i="1"/>
  <c r="N7" i="1"/>
  <c r="AC14" i="1"/>
  <c r="AQ14" i="1" s="1"/>
  <c r="AI16" i="1"/>
  <c r="AI18" i="1"/>
  <c r="AI19" i="1"/>
  <c r="AI20" i="1"/>
  <c r="AI22" i="1"/>
  <c r="AI26" i="1"/>
  <c r="AI27" i="1"/>
  <c r="AI29" i="1"/>
  <c r="AI34" i="1"/>
  <c r="AI38" i="1"/>
  <c r="AI42" i="1"/>
  <c r="AI46" i="1"/>
  <c r="AI50" i="1"/>
  <c r="G4" i="5"/>
  <c r="AS10" i="1"/>
  <c r="AT10" i="1" s="1"/>
  <c r="C11" i="1"/>
  <c r="AS16" i="1"/>
  <c r="AT16" i="1" s="1"/>
  <c r="AS20" i="1"/>
  <c r="AT20" i="1" s="1"/>
  <c r="AS22" i="1"/>
  <c r="AT22" i="1" s="1"/>
  <c r="AS26" i="1"/>
  <c r="AT26" i="1" s="1"/>
  <c r="AS13" i="1"/>
  <c r="AT13" i="1" s="1"/>
  <c r="N26" i="1"/>
  <c r="C30" i="1"/>
  <c r="N27" i="1"/>
  <c r="AC26" i="1"/>
  <c r="AQ26" i="1" s="1"/>
  <c r="AC24" i="1"/>
  <c r="AQ24" i="1" s="1"/>
  <c r="AC28" i="1"/>
  <c r="AQ28" i="1" s="1"/>
  <c r="N28" i="1"/>
  <c r="AC27" i="1"/>
  <c r="AQ27" i="1" s="1"/>
  <c r="AS32" i="1"/>
  <c r="AT32" i="1" s="1"/>
  <c r="AS34" i="1"/>
  <c r="AT34" i="1" s="1"/>
  <c r="AS35" i="1"/>
  <c r="AT35" i="1" s="1"/>
  <c r="N36" i="1"/>
  <c r="AS41" i="1"/>
  <c r="AT41" i="1" s="1"/>
  <c r="N42" i="1"/>
  <c r="AS49" i="1"/>
  <c r="AT49" i="1" s="1"/>
  <c r="AS55" i="1"/>
  <c r="AT55" i="1" s="1"/>
  <c r="AS54" i="1"/>
  <c r="AT54" i="1" s="1"/>
  <c r="AS48" i="1"/>
  <c r="AT48" i="1" s="1"/>
  <c r="AS45" i="1"/>
  <c r="AT45" i="1" s="1"/>
  <c r="AS44" i="1"/>
  <c r="AT44" i="1" s="1"/>
  <c r="AS38" i="1"/>
  <c r="AT38" i="1" s="1"/>
  <c r="AS33" i="1"/>
  <c r="AT33" i="1" s="1"/>
  <c r="CD29" i="1"/>
  <c r="AS28" i="1"/>
  <c r="AT28" i="1" s="1"/>
  <c r="AS27" i="1"/>
  <c r="AT27" i="1" s="1"/>
  <c r="AS23" i="1"/>
  <c r="AT23" i="1" s="1"/>
  <c r="AS53" i="1"/>
  <c r="AT53" i="1" s="1"/>
  <c r="AS47" i="1"/>
  <c r="AT47" i="1" s="1"/>
  <c r="AS43" i="1"/>
  <c r="AT43" i="1" s="1"/>
  <c r="AS40" i="1"/>
  <c r="AT40" i="1" s="1"/>
  <c r="AS37" i="1"/>
  <c r="AT37" i="1" s="1"/>
  <c r="AS30" i="1"/>
  <c r="AT30" i="1" s="1"/>
  <c r="AS29" i="1"/>
  <c r="AT29" i="1" s="1"/>
  <c r="AS25" i="1"/>
  <c r="AT25" i="1" s="1"/>
  <c r="AS52" i="1"/>
  <c r="AT52" i="1" s="1"/>
  <c r="AS46" i="1"/>
  <c r="AT46" i="1" s="1"/>
  <c r="AS42" i="1"/>
  <c r="AT42" i="1" s="1"/>
  <c r="AS39" i="1"/>
  <c r="AT39" i="1" s="1"/>
  <c r="AS36" i="1"/>
  <c r="AT36" i="1" s="1"/>
  <c r="AS31" i="1"/>
  <c r="AT31" i="1" s="1"/>
  <c r="AS7" i="1"/>
  <c r="AT7" i="1" s="1"/>
  <c r="C10" i="1"/>
  <c r="N8" i="1"/>
  <c r="AC9" i="1"/>
  <c r="AQ9" i="1" s="1"/>
  <c r="AS11" i="1"/>
  <c r="AT11" i="1" s="1"/>
  <c r="AS12" i="1"/>
  <c r="AT12" i="1" s="1"/>
  <c r="AS15" i="1"/>
  <c r="AT15" i="1" s="1"/>
  <c r="AS17" i="1"/>
  <c r="AT17" i="1" s="1"/>
  <c r="AS18" i="1"/>
  <c r="AT18" i="1" s="1"/>
  <c r="AS19" i="1"/>
  <c r="AT19" i="1" s="1"/>
  <c r="CD22" i="1"/>
  <c r="CD28" i="1"/>
  <c r="N30" i="1"/>
  <c r="N31" i="1"/>
  <c r="AC37" i="1"/>
  <c r="AQ37" i="1" s="1"/>
  <c r="N39" i="1"/>
  <c r="AC43" i="1"/>
  <c r="AQ43" i="1" s="1"/>
  <c r="AS50" i="1"/>
  <c r="AT50" i="1" s="1"/>
  <c r="N53" i="1"/>
  <c r="D5" i="1"/>
  <c r="CQ21" i="1" s="1"/>
  <c r="AC7" i="1"/>
  <c r="AS8" i="1"/>
  <c r="AT8" i="1" s="1"/>
  <c r="N9" i="1"/>
  <c r="DE9" i="1"/>
  <c r="AC10" i="1"/>
  <c r="AQ10" i="1" s="1"/>
  <c r="AC13" i="1"/>
  <c r="AQ13" i="1" s="1"/>
  <c r="AS14" i="1"/>
  <c r="AT14" i="1" s="1"/>
  <c r="N16" i="1"/>
  <c r="AC16" i="1"/>
  <c r="AQ16" i="1" s="1"/>
  <c r="AC20" i="1"/>
  <c r="AQ20" i="1" s="1"/>
  <c r="AS21" i="1"/>
  <c r="AT21" i="1" s="1"/>
  <c r="N22" i="1"/>
  <c r="AC22" i="1"/>
  <c r="AQ22" i="1" s="1"/>
  <c r="CD23" i="1"/>
  <c r="AS24" i="1"/>
  <c r="AT24" i="1" s="1"/>
  <c r="AC25" i="1"/>
  <c r="AQ25" i="1" s="1"/>
  <c r="CD27" i="1"/>
  <c r="AC29" i="1"/>
  <c r="AQ29" i="1" s="1"/>
  <c r="N33" i="1"/>
  <c r="AC40" i="1"/>
  <c r="AQ40" i="1" s="1"/>
  <c r="N46" i="1"/>
  <c r="AS51" i="1"/>
  <c r="AT51" i="1" s="1"/>
  <c r="AS56" i="1"/>
  <c r="AT56" i="1" s="1"/>
  <c r="AS9" i="1"/>
  <c r="AT9" i="1" s="1"/>
  <c r="N10" i="1"/>
  <c r="AC11" i="1"/>
  <c r="AQ11" i="1" s="1"/>
  <c r="N12" i="1"/>
  <c r="AC12" i="1"/>
  <c r="AQ12" i="1" s="1"/>
  <c r="N13" i="1"/>
  <c r="AC15" i="1"/>
  <c r="AQ15" i="1" s="1"/>
  <c r="AC17" i="1"/>
  <c r="AQ17" i="1" s="1"/>
  <c r="AC18" i="1"/>
  <c r="AQ18" i="1" s="1"/>
  <c r="N19" i="1"/>
  <c r="AC19" i="1"/>
  <c r="AQ19" i="1" s="1"/>
  <c r="N20" i="1"/>
  <c r="CD21" i="1"/>
  <c r="N24" i="1"/>
  <c r="AC30" i="1"/>
  <c r="AQ30" i="1" s="1"/>
  <c r="AC33" i="1"/>
  <c r="AQ33" i="1" s="1"/>
  <c r="AC47" i="1"/>
  <c r="AQ47" i="1" s="1"/>
  <c r="AC53" i="1"/>
  <c r="AQ53" i="1" s="1"/>
  <c r="N37" i="1"/>
  <c r="AC38" i="1"/>
  <c r="AQ38" i="1" s="1"/>
  <c r="N40" i="1"/>
  <c r="N43" i="1"/>
  <c r="AC44" i="1"/>
  <c r="AQ44" i="1" s="1"/>
  <c r="N45" i="1"/>
  <c r="AC45" i="1"/>
  <c r="AQ45" i="1" s="1"/>
  <c r="N47" i="1"/>
  <c r="AC48" i="1"/>
  <c r="AQ48" i="1" s="1"/>
  <c r="AC54" i="1"/>
  <c r="AQ54" i="1" s="1"/>
  <c r="N56" i="1"/>
  <c r="AC32" i="1"/>
  <c r="AQ32" i="1" s="1"/>
  <c r="AC34" i="1"/>
  <c r="AQ34" i="1" s="1"/>
  <c r="N35" i="1"/>
  <c r="AC35" i="1"/>
  <c r="AQ35" i="1" s="1"/>
  <c r="N38" i="1"/>
  <c r="AC41" i="1"/>
  <c r="AQ41" i="1" s="1"/>
  <c r="N44" i="1"/>
  <c r="N48" i="1"/>
  <c r="AC49" i="1"/>
  <c r="AQ49" i="1" s="1"/>
  <c r="N50" i="1"/>
  <c r="AC50" i="1"/>
  <c r="AQ50" i="1" s="1"/>
  <c r="N51" i="1"/>
  <c r="AC51" i="1"/>
  <c r="AQ51" i="1" s="1"/>
  <c r="N52" i="1"/>
  <c r="N54" i="1"/>
  <c r="AC55" i="1"/>
  <c r="AQ55" i="1" s="1"/>
  <c r="AC56" i="1"/>
  <c r="AQ56" i="1" s="1"/>
  <c r="N29" i="1"/>
  <c r="AC31" i="1"/>
  <c r="AQ31" i="1" s="1"/>
  <c r="N32" i="1"/>
  <c r="N34" i="1"/>
  <c r="AC36" i="1"/>
  <c r="AQ36" i="1" s="1"/>
  <c r="AC39" i="1"/>
  <c r="AQ39" i="1" s="1"/>
  <c r="N41" i="1"/>
  <c r="AC42" i="1"/>
  <c r="AQ42" i="1" s="1"/>
  <c r="AC46" i="1"/>
  <c r="AQ46" i="1" s="1"/>
  <c r="N49" i="1"/>
  <c r="AC52" i="1"/>
  <c r="AQ52" i="1" s="1"/>
  <c r="N55" i="1"/>
  <c r="V4" i="5"/>
  <c r="C55" i="1"/>
  <c r="S9" i="2" s="1"/>
  <c r="P90" i="2"/>
  <c r="M97" i="2"/>
  <c r="M99" i="2" s="1"/>
  <c r="C12" i="1"/>
  <c r="P97" i="2"/>
  <c r="P98" i="2" s="1"/>
  <c r="V97" i="2"/>
  <c r="V98" i="2" s="1"/>
  <c r="V99" i="2" s="1"/>
  <c r="S67" i="2"/>
  <c r="N5" i="6" s="1"/>
  <c r="S90" i="2"/>
  <c r="S96" i="2"/>
  <c r="I99" i="2" l="1"/>
  <c r="I98" i="2"/>
  <c r="V8" i="1"/>
  <c r="AJ8" i="1"/>
  <c r="BQ10" i="1"/>
  <c r="R56" i="1" s="1"/>
  <c r="Q7" i="1"/>
  <c r="K17" i="6"/>
  <c r="H17" i="1"/>
  <c r="AD17" i="1" s="1"/>
  <c r="G11" i="1"/>
  <c r="H9" i="1"/>
  <c r="AD9" i="1" s="1"/>
  <c r="AH9" i="1" s="1"/>
  <c r="J9" i="1"/>
  <c r="O7" i="1"/>
  <c r="BA7" i="1" s="1"/>
  <c r="BB7" i="1" s="1"/>
  <c r="I7" i="1"/>
  <c r="AE7" i="1" s="1"/>
  <c r="C32" i="1"/>
  <c r="M9" i="2" s="1"/>
  <c r="P9" i="1"/>
  <c r="I6" i="5" s="1"/>
  <c r="H20" i="1"/>
  <c r="AD20" i="1" s="1"/>
  <c r="AH20" i="1" s="1"/>
  <c r="G13" i="1"/>
  <c r="I13" i="1"/>
  <c r="AF13" i="1" s="1"/>
  <c r="AG13" i="1" s="1"/>
  <c r="AH7" i="1"/>
  <c r="S68" i="2"/>
  <c r="J10" i="1"/>
  <c r="O10" i="1"/>
  <c r="H26" i="1"/>
  <c r="AD26" i="1" s="1"/>
  <c r="AH26" i="1" s="1"/>
  <c r="P13" i="1"/>
  <c r="I10" i="5" s="1"/>
  <c r="C15" i="1"/>
  <c r="G31" i="5" s="1"/>
  <c r="J21" i="1"/>
  <c r="I10" i="1"/>
  <c r="AE10" i="1" s="1"/>
  <c r="G10" i="1"/>
  <c r="J14" i="1"/>
  <c r="H10" i="1"/>
  <c r="AD10" i="1" s="1"/>
  <c r="AH10" i="1" s="1"/>
  <c r="Q34" i="1"/>
  <c r="Q55" i="1"/>
  <c r="Q19" i="1"/>
  <c r="Q27" i="1"/>
  <c r="Q35" i="1"/>
  <c r="Q25" i="1"/>
  <c r="Q16" i="1"/>
  <c r="Q46" i="1"/>
  <c r="Q21" i="1"/>
  <c r="Q36" i="1"/>
  <c r="Q37" i="1"/>
  <c r="Q38" i="1"/>
  <c r="Q50" i="1"/>
  <c r="Q10" i="1"/>
  <c r="T10" i="1" s="1"/>
  <c r="Q14" i="1"/>
  <c r="Q8" i="1"/>
  <c r="Q18" i="1"/>
  <c r="Q12" i="1"/>
  <c r="Q47" i="1"/>
  <c r="Q28" i="1"/>
  <c r="Q48" i="1"/>
  <c r="Q32" i="1"/>
  <c r="Q52" i="1"/>
  <c r="Q29" i="1"/>
  <c r="Q39" i="1"/>
  <c r="Q49" i="1"/>
  <c r="Q17" i="1"/>
  <c r="Q11" i="1"/>
  <c r="Q31" i="1"/>
  <c r="Q30" i="1"/>
  <c r="Q40" i="1"/>
  <c r="Q53" i="1"/>
  <c r="Q26" i="1"/>
  <c r="Q23" i="1"/>
  <c r="Q44" i="1"/>
  <c r="Q54" i="1"/>
  <c r="Q24" i="1"/>
  <c r="Q42" i="1"/>
  <c r="Q22" i="1"/>
  <c r="Q13" i="1"/>
  <c r="Q41" i="1"/>
  <c r="Q9" i="1"/>
  <c r="Q51" i="1"/>
  <c r="Q15" i="1"/>
  <c r="Q33" i="1"/>
  <c r="Q43" i="1"/>
  <c r="Q45" i="1"/>
  <c r="Q56" i="1"/>
  <c r="Q20" i="1"/>
  <c r="T20" i="1" s="1"/>
  <c r="AB4" i="5"/>
  <c r="AC4" i="5" s="1"/>
  <c r="S3" i="5"/>
  <c r="T3" i="5" s="1"/>
  <c r="P16" i="1"/>
  <c r="I13" i="5" s="1"/>
  <c r="AK4" i="5"/>
  <c r="AL4" i="5" s="1"/>
  <c r="AK3" i="5"/>
  <c r="AL3" i="5" s="1"/>
  <c r="AK7" i="1"/>
  <c r="AL7" i="1" s="1"/>
  <c r="V90" i="2"/>
  <c r="AB3" i="5"/>
  <c r="AC3" i="5" s="1"/>
  <c r="T4" i="5"/>
  <c r="J12" i="1"/>
  <c r="H12" i="1"/>
  <c r="AD12" i="1" s="1"/>
  <c r="AH12" i="1" s="1"/>
  <c r="G22" i="1"/>
  <c r="F36" i="1"/>
  <c r="O36" i="1" s="1"/>
  <c r="Z36" i="1" s="1"/>
  <c r="F43" i="1"/>
  <c r="I43" i="1" s="1"/>
  <c r="AF43" i="1" s="1"/>
  <c r="AG43" i="1" s="1"/>
  <c r="J22" i="1"/>
  <c r="I12" i="1"/>
  <c r="AF12" i="1" s="1"/>
  <c r="AG12" i="1" s="1"/>
  <c r="P12" i="1"/>
  <c r="I9" i="5" s="1"/>
  <c r="I22" i="1"/>
  <c r="AF22" i="1" s="1"/>
  <c r="AG22" i="1" s="1"/>
  <c r="P23" i="1"/>
  <c r="I20" i="5" s="1"/>
  <c r="H23" i="1"/>
  <c r="AD23" i="1" s="1"/>
  <c r="AH23" i="1" s="1"/>
  <c r="I23" i="1"/>
  <c r="AE23" i="1" s="1"/>
  <c r="F31" i="1"/>
  <c r="P31" i="1" s="1"/>
  <c r="F38" i="1"/>
  <c r="H38" i="1" s="1"/>
  <c r="AD38" i="1" s="1"/>
  <c r="AH38" i="1" s="1"/>
  <c r="G19" i="1"/>
  <c r="P19" i="1"/>
  <c r="AE16" i="1"/>
  <c r="F49" i="1"/>
  <c r="O26" i="1"/>
  <c r="I14" i="1"/>
  <c r="AF14" i="1" s="1"/>
  <c r="AG14" i="1" s="1"/>
  <c r="J24" i="1"/>
  <c r="H13" i="1"/>
  <c r="AD13" i="1" s="1"/>
  <c r="AH13" i="1" s="1"/>
  <c r="I24" i="1"/>
  <c r="AE24" i="1" s="1"/>
  <c r="G16" i="1"/>
  <c r="O16" i="1"/>
  <c r="G14" i="1"/>
  <c r="F48" i="1"/>
  <c r="G48" i="1" s="1"/>
  <c r="F47" i="1"/>
  <c r="P47" i="1" s="1"/>
  <c r="I44" i="5" s="1"/>
  <c r="F40" i="1"/>
  <c r="J40" i="1" s="1"/>
  <c r="AR40" i="1" s="1"/>
  <c r="AU40" i="1" s="1"/>
  <c r="F42" i="1"/>
  <c r="O42" i="1" s="1"/>
  <c r="J26" i="1"/>
  <c r="J13" i="1"/>
  <c r="J16" i="1"/>
  <c r="G7" i="1"/>
  <c r="H24" i="1"/>
  <c r="AD24" i="1" s="1"/>
  <c r="AH24" i="1" s="1"/>
  <c r="P24" i="1"/>
  <c r="I21" i="5" s="1"/>
  <c r="H16" i="1"/>
  <c r="AD16" i="1" s="1"/>
  <c r="AH16" i="1" s="1"/>
  <c r="J7" i="1"/>
  <c r="P14" i="1"/>
  <c r="I11" i="5" s="1"/>
  <c r="F52" i="1"/>
  <c r="G52" i="1" s="1"/>
  <c r="F35" i="1"/>
  <c r="H35" i="1" s="1"/>
  <c r="AD35" i="1" s="1"/>
  <c r="AH35" i="1" s="1"/>
  <c r="F51" i="1"/>
  <c r="O51" i="1" s="1"/>
  <c r="F55" i="1"/>
  <c r="I55" i="1" s="1"/>
  <c r="F30" i="1"/>
  <c r="H30" i="1" s="1"/>
  <c r="AD30" i="1" s="1"/>
  <c r="AH30" i="1" s="1"/>
  <c r="F46" i="1"/>
  <c r="O46" i="1" s="1"/>
  <c r="F32" i="1"/>
  <c r="O32" i="1" s="1"/>
  <c r="F33" i="1"/>
  <c r="I33" i="1" s="1"/>
  <c r="P26" i="1"/>
  <c r="I23" i="5" s="1"/>
  <c r="H14" i="1"/>
  <c r="AD14" i="1" s="1"/>
  <c r="AH14" i="1" s="1"/>
  <c r="P7" i="1"/>
  <c r="G26" i="1"/>
  <c r="O24" i="1"/>
  <c r="AE26" i="1"/>
  <c r="F39" i="1"/>
  <c r="F54" i="1"/>
  <c r="F34" i="1"/>
  <c r="F50" i="1"/>
  <c r="F44" i="1"/>
  <c r="F45" i="1"/>
  <c r="I45" i="1" s="1"/>
  <c r="J20" i="1"/>
  <c r="H11" i="1"/>
  <c r="AD11" i="1" s="1"/>
  <c r="AH11" i="1" s="1"/>
  <c r="P17" i="1"/>
  <c r="I14" i="5" s="1"/>
  <c r="J19" i="1"/>
  <c r="I19" i="1"/>
  <c r="AE19" i="1" s="1"/>
  <c r="I20" i="1"/>
  <c r="AF20" i="1" s="1"/>
  <c r="AG20" i="1" s="1"/>
  <c r="G17" i="1"/>
  <c r="P22" i="1"/>
  <c r="P21" i="1"/>
  <c r="H22" i="1"/>
  <c r="AD22" i="1" s="1"/>
  <c r="AH22" i="1" s="1"/>
  <c r="J17" i="1"/>
  <c r="J11" i="1"/>
  <c r="I17" i="1"/>
  <c r="AF17" i="1" s="1"/>
  <c r="AG17" i="1" s="1"/>
  <c r="I11" i="1"/>
  <c r="AF11" i="1" s="1"/>
  <c r="AG11" i="1" s="1"/>
  <c r="H19" i="1"/>
  <c r="AD19" i="1" s="1"/>
  <c r="AH19" i="1" s="1"/>
  <c r="P11" i="1"/>
  <c r="I8" i="5" s="1"/>
  <c r="G21" i="1"/>
  <c r="G12" i="1"/>
  <c r="O15" i="1"/>
  <c r="G15" i="1"/>
  <c r="J15" i="1"/>
  <c r="I15" i="1"/>
  <c r="AE15" i="1" s="1"/>
  <c r="H15" i="1"/>
  <c r="AD15" i="1" s="1"/>
  <c r="AH15" i="1" s="1"/>
  <c r="I29" i="1"/>
  <c r="AE29" i="1" s="1"/>
  <c r="J29" i="1"/>
  <c r="P29" i="1"/>
  <c r="G29" i="1"/>
  <c r="O29" i="1"/>
  <c r="H29" i="1"/>
  <c r="AD29" i="1" s="1"/>
  <c r="AH29" i="1" s="1"/>
  <c r="J18" i="1"/>
  <c r="P18" i="1"/>
  <c r="I15" i="5" s="1"/>
  <c r="G18" i="1"/>
  <c r="I18" i="1"/>
  <c r="AE18" i="1" s="1"/>
  <c r="O18" i="1"/>
  <c r="I27" i="1"/>
  <c r="AF27" i="1" s="1"/>
  <c r="AG27" i="1" s="1"/>
  <c r="G27" i="1"/>
  <c r="O27" i="1"/>
  <c r="P27" i="1"/>
  <c r="I24" i="5" s="1"/>
  <c r="J27" i="1"/>
  <c r="O25" i="1"/>
  <c r="P25" i="1"/>
  <c r="I25" i="1"/>
  <c r="H25" i="1"/>
  <c r="AD25" i="1" s="1"/>
  <c r="AH25" i="1" s="1"/>
  <c r="J25" i="1"/>
  <c r="P8" i="1"/>
  <c r="I5" i="5" s="1"/>
  <c r="G8" i="1"/>
  <c r="I8" i="1"/>
  <c r="AE8" i="1" s="1"/>
  <c r="J8" i="1"/>
  <c r="H8" i="1"/>
  <c r="AD8" i="1" s="1"/>
  <c r="AH8" i="1" s="1"/>
  <c r="P28" i="1"/>
  <c r="I25" i="5" s="1"/>
  <c r="I28" i="1"/>
  <c r="G28" i="1"/>
  <c r="H28" i="1"/>
  <c r="AD28" i="1" s="1"/>
  <c r="AH28" i="1" s="1"/>
  <c r="AF26" i="1"/>
  <c r="AG26" i="1" s="1"/>
  <c r="H18" i="1"/>
  <c r="AD18" i="1" s="1"/>
  <c r="AH18" i="1" s="1"/>
  <c r="O28" i="1"/>
  <c r="G25" i="1"/>
  <c r="J28" i="1"/>
  <c r="H27" i="1"/>
  <c r="AD27" i="1" s="1"/>
  <c r="AH27" i="1" s="1"/>
  <c r="J9" i="5"/>
  <c r="P15" i="1"/>
  <c r="I12" i="5" s="1"/>
  <c r="O8" i="1"/>
  <c r="I21" i="1"/>
  <c r="AE21" i="1" s="1"/>
  <c r="O20" i="1"/>
  <c r="G20" i="1"/>
  <c r="O23" i="1"/>
  <c r="G23" i="1"/>
  <c r="O9" i="1"/>
  <c r="I9" i="1"/>
  <c r="AE9" i="1" s="1"/>
  <c r="F37" i="1"/>
  <c r="F53" i="1"/>
  <c r="H21" i="1"/>
  <c r="AD21" i="1" s="1"/>
  <c r="AH21" i="1" s="1"/>
  <c r="F41" i="1"/>
  <c r="F56" i="1"/>
  <c r="W4" i="5"/>
  <c r="N4" i="1"/>
  <c r="C33" i="1" s="1"/>
  <c r="M10" i="2" s="1"/>
  <c r="CQ31" i="1"/>
  <c r="CQ28" i="1"/>
  <c r="AR23" i="1" s="1"/>
  <c r="AU23" i="1" s="1"/>
  <c r="CQ27" i="1"/>
  <c r="CQ26" i="1"/>
  <c r="CQ24" i="1"/>
  <c r="CQ29" i="1"/>
  <c r="CQ22" i="1"/>
  <c r="CQ30" i="1"/>
  <c r="CQ25" i="1"/>
  <c r="AF16" i="1"/>
  <c r="AG16" i="1" s="1"/>
  <c r="DE24" i="1"/>
  <c r="F128" i="2" s="1"/>
  <c r="DE23" i="1"/>
  <c r="F127" i="2" s="1"/>
  <c r="DE17" i="1"/>
  <c r="F121" i="2" s="1"/>
  <c r="C97" i="2" s="1"/>
  <c r="E97" i="2" s="1"/>
  <c r="DE15" i="1"/>
  <c r="F119" i="2" s="1"/>
  <c r="C95" i="2" s="1"/>
  <c r="E95" i="2" s="1"/>
  <c r="DE13" i="1"/>
  <c r="F117" i="2" s="1"/>
  <c r="C93" i="2" s="1"/>
  <c r="E93" i="2" s="1"/>
  <c r="DE19" i="1"/>
  <c r="F123" i="2" s="1"/>
  <c r="C99" i="2" s="1"/>
  <c r="E99" i="2" s="1"/>
  <c r="DE18" i="1"/>
  <c r="F122" i="2" s="1"/>
  <c r="C98" i="2" s="1"/>
  <c r="E98" i="2" s="1"/>
  <c r="DE21" i="1"/>
  <c r="F125" i="2" s="1"/>
  <c r="DE20" i="1"/>
  <c r="F124" i="2" s="1"/>
  <c r="C100" i="2" s="1"/>
  <c r="E100" i="2" s="1"/>
  <c r="DE11" i="1"/>
  <c r="DE14" i="1"/>
  <c r="F118" i="2" s="1"/>
  <c r="C94" i="2" s="1"/>
  <c r="E94" i="2" s="1"/>
  <c r="DE12" i="1"/>
  <c r="F116" i="2" s="1"/>
  <c r="C92" i="2" s="1"/>
  <c r="E92" i="2" s="1"/>
  <c r="DE16" i="1"/>
  <c r="F120" i="2" s="1"/>
  <c r="C96" i="2" s="1"/>
  <c r="E96" i="2" s="1"/>
  <c r="DE22" i="1"/>
  <c r="F126" i="2" s="1"/>
  <c r="AC4" i="1"/>
  <c r="AQ7" i="1"/>
  <c r="M98" i="2"/>
  <c r="C16" i="1"/>
  <c r="P13" i="2"/>
  <c r="M13" i="2"/>
  <c r="S13" i="2"/>
  <c r="P99" i="2"/>
  <c r="AH17" i="1"/>
  <c r="S99" i="2"/>
  <c r="S98" i="2"/>
  <c r="AJ9" i="1"/>
  <c r="AW10" i="1"/>
  <c r="AW11" i="1" s="1"/>
  <c r="V10" i="1"/>
  <c r="V9" i="1"/>
  <c r="C44" i="1"/>
  <c r="P9" i="2" s="1"/>
  <c r="R54" i="1" l="1"/>
  <c r="T7" i="1"/>
  <c r="BC4" i="5"/>
  <c r="R12" i="1"/>
  <c r="S12" i="1" s="1"/>
  <c r="H9" i="5" s="1"/>
  <c r="R11" i="1"/>
  <c r="S11" i="1" s="1"/>
  <c r="H8" i="5" s="1"/>
  <c r="R21" i="1"/>
  <c r="S21" i="1" s="1"/>
  <c r="R20" i="1"/>
  <c r="S20" i="1" s="1"/>
  <c r="H17" i="5" s="1"/>
  <c r="R44" i="1"/>
  <c r="R23" i="1"/>
  <c r="S23" i="1" s="1"/>
  <c r="R45" i="1"/>
  <c r="R15" i="1"/>
  <c r="S15" i="1" s="1"/>
  <c r="R55" i="1"/>
  <c r="R40" i="1"/>
  <c r="R29" i="1"/>
  <c r="S29" i="1" s="1"/>
  <c r="R36" i="1"/>
  <c r="R50" i="1"/>
  <c r="R13" i="1"/>
  <c r="S13" i="1" s="1"/>
  <c r="H10" i="5" s="1"/>
  <c r="R25" i="1"/>
  <c r="S25" i="1" s="1"/>
  <c r="R10" i="1"/>
  <c r="S10" i="1" s="1"/>
  <c r="R24" i="1"/>
  <c r="S24" i="1" s="1"/>
  <c r="R46" i="1"/>
  <c r="R7" i="1"/>
  <c r="S7" i="1" s="1"/>
  <c r="X7" i="1" s="1"/>
  <c r="BE7" i="1" s="1"/>
  <c r="R38" i="1"/>
  <c r="R47" i="1"/>
  <c r="R43" i="1"/>
  <c r="R14" i="1"/>
  <c r="S14" i="1" s="1"/>
  <c r="H11" i="5" s="1"/>
  <c r="R34" i="1"/>
  <c r="R33" i="1"/>
  <c r="R52" i="1"/>
  <c r="R48" i="1"/>
  <c r="R31" i="1"/>
  <c r="R41" i="1"/>
  <c r="R9" i="1"/>
  <c r="S9" i="1" s="1"/>
  <c r="R8" i="1"/>
  <c r="S8" i="1" s="1"/>
  <c r="R32" i="1"/>
  <c r="R16" i="1"/>
  <c r="S16" i="1" s="1"/>
  <c r="H13" i="5" s="1"/>
  <c r="R18" i="1"/>
  <c r="S18" i="1" s="1"/>
  <c r="R19" i="1"/>
  <c r="S19" i="1" s="1"/>
  <c r="R49" i="1"/>
  <c r="R51" i="1"/>
  <c r="R39" i="1"/>
  <c r="R28" i="1"/>
  <c r="S28" i="1" s="1"/>
  <c r="R27" i="1"/>
  <c r="S27" i="1" s="1"/>
  <c r="H24" i="5" s="1"/>
  <c r="R37" i="1"/>
  <c r="R35" i="1"/>
  <c r="R22" i="1"/>
  <c r="S22" i="1" s="1"/>
  <c r="H19" i="5" s="1"/>
  <c r="R53" i="1"/>
  <c r="R42" i="1"/>
  <c r="R30" i="1"/>
  <c r="R17" i="1"/>
  <c r="S17" i="1" s="1"/>
  <c r="H14" i="5" s="1"/>
  <c r="R26" i="1"/>
  <c r="S26" i="1" s="1"/>
  <c r="H23" i="5" s="1"/>
  <c r="G42" i="1"/>
  <c r="Z7" i="1"/>
  <c r="AA7" i="1" s="1"/>
  <c r="AE22" i="1"/>
  <c r="AF7" i="1"/>
  <c r="AG7" i="1" s="1"/>
  <c r="V9" i="2"/>
  <c r="I4" i="5"/>
  <c r="BJ4" i="5" s="1"/>
  <c r="N9" i="6"/>
  <c r="BA36" i="1"/>
  <c r="T9" i="1"/>
  <c r="AE13" i="1"/>
  <c r="W38" i="1"/>
  <c r="AK38" i="1" s="1"/>
  <c r="AX38" i="1" s="1"/>
  <c r="W47" i="1"/>
  <c r="AK47" i="1" s="1"/>
  <c r="AX47" i="1" s="1"/>
  <c r="G8" i="5"/>
  <c r="W30" i="1"/>
  <c r="AK30" i="1" s="1"/>
  <c r="AX30" i="1" s="1"/>
  <c r="G44" i="5"/>
  <c r="W15" i="1"/>
  <c r="AK15" i="1" s="1"/>
  <c r="AX15" i="1" s="1"/>
  <c r="G27" i="5"/>
  <c r="W11" i="1"/>
  <c r="AK11" i="1" s="1"/>
  <c r="AX11" i="1" s="1"/>
  <c r="P45" i="1"/>
  <c r="I42" i="5" s="1"/>
  <c r="G49" i="5"/>
  <c r="G15" i="5"/>
  <c r="W31" i="1"/>
  <c r="AK31" i="1" s="1"/>
  <c r="AX31" i="1" s="1"/>
  <c r="W53" i="1"/>
  <c r="AK53" i="1" s="1"/>
  <c r="AX53" i="1" s="1"/>
  <c r="W9" i="1"/>
  <c r="AK9" i="1" s="1"/>
  <c r="AX9" i="1" s="1"/>
  <c r="G46" i="5"/>
  <c r="W13" i="1"/>
  <c r="AK13" i="1" s="1"/>
  <c r="AX13" i="1" s="1"/>
  <c r="W23" i="1"/>
  <c r="AK23" i="1" s="1"/>
  <c r="AX23" i="1" s="1"/>
  <c r="W46" i="1"/>
  <c r="AK46" i="1" s="1"/>
  <c r="AX46" i="1" s="1"/>
  <c r="G39" i="5"/>
  <c r="W41" i="1"/>
  <c r="AK41" i="1" s="1"/>
  <c r="AX41" i="1" s="1"/>
  <c r="G28" i="5"/>
  <c r="W39" i="1"/>
  <c r="AK39" i="1" s="1"/>
  <c r="AX39" i="1" s="1"/>
  <c r="G41" i="5"/>
  <c r="W44" i="1"/>
  <c r="AK44" i="1" s="1"/>
  <c r="AX44" i="1" s="1"/>
  <c r="G19" i="5"/>
  <c r="W45" i="1"/>
  <c r="AK45" i="1" s="1"/>
  <c r="AX45" i="1" s="1"/>
  <c r="G45" i="5"/>
  <c r="G14" i="5"/>
  <c r="G13" i="5"/>
  <c r="W28" i="1"/>
  <c r="AK28" i="1" s="1"/>
  <c r="AX28" i="1" s="1"/>
  <c r="G10" i="5"/>
  <c r="G18" i="5"/>
  <c r="W42" i="1"/>
  <c r="AK42" i="1" s="1"/>
  <c r="AX42" i="1" s="1"/>
  <c r="W36" i="1"/>
  <c r="AK36" i="1" s="1"/>
  <c r="AX36" i="1" s="1"/>
  <c r="G29" i="5"/>
  <c r="W17" i="1"/>
  <c r="AK17" i="1" s="1"/>
  <c r="AX17" i="1" s="1"/>
  <c r="M12" i="2"/>
  <c r="G35" i="5"/>
  <c r="G24" i="5"/>
  <c r="G21" i="5"/>
  <c r="G42" i="5"/>
  <c r="G7" i="5"/>
  <c r="G34" i="5"/>
  <c r="W49" i="1"/>
  <c r="AK49" i="1" s="1"/>
  <c r="AX49" i="1" s="1"/>
  <c r="G38" i="5"/>
  <c r="W32" i="1"/>
  <c r="AK32" i="1" s="1"/>
  <c r="AX32" i="1" s="1"/>
  <c r="W52" i="1"/>
  <c r="AK52" i="1" s="1"/>
  <c r="AX52" i="1" s="1"/>
  <c r="P12" i="2"/>
  <c r="W20" i="1"/>
  <c r="AK20" i="1" s="1"/>
  <c r="AX20" i="1" s="1"/>
  <c r="G40" i="5"/>
  <c r="W48" i="1"/>
  <c r="AK48" i="1" s="1"/>
  <c r="AX48" i="1" s="1"/>
  <c r="G16" i="5"/>
  <c r="W21" i="1"/>
  <c r="AK21" i="1" s="1"/>
  <c r="AX21" i="1" s="1"/>
  <c r="G12" i="5"/>
  <c r="G47" i="5"/>
  <c r="S12" i="2"/>
  <c r="W43" i="1"/>
  <c r="AK43" i="1" s="1"/>
  <c r="AX43" i="1" s="1"/>
  <c r="W14" i="1"/>
  <c r="AK14" i="1" s="1"/>
  <c r="AX14" i="1" s="1"/>
  <c r="W50" i="1"/>
  <c r="AK50" i="1" s="1"/>
  <c r="AX50" i="1" s="1"/>
  <c r="G52" i="5"/>
  <c r="W55" i="1"/>
  <c r="AK55" i="1" s="1"/>
  <c r="AX55" i="1" s="1"/>
  <c r="G33" i="5"/>
  <c r="W51" i="1"/>
  <c r="AK51" i="1" s="1"/>
  <c r="AX51" i="1" s="1"/>
  <c r="G22" i="5"/>
  <c r="W22" i="1"/>
  <c r="AK22" i="1" s="1"/>
  <c r="AX22" i="1" s="1"/>
  <c r="W33" i="1"/>
  <c r="AK33" i="1" s="1"/>
  <c r="AX33" i="1" s="1"/>
  <c r="G43" i="5"/>
  <c r="G20" i="5"/>
  <c r="G32" i="5"/>
  <c r="W24" i="1"/>
  <c r="AK24" i="1" s="1"/>
  <c r="AX24" i="1" s="1"/>
  <c r="W56" i="1"/>
  <c r="AK56" i="1" s="1"/>
  <c r="AX56" i="1" s="1"/>
  <c r="W40" i="1"/>
  <c r="AK40" i="1" s="1"/>
  <c r="AX40" i="1" s="1"/>
  <c r="W26" i="1"/>
  <c r="AK26" i="1" s="1"/>
  <c r="AX26" i="1" s="1"/>
  <c r="W10" i="1"/>
  <c r="AK10" i="1" s="1"/>
  <c r="AX10" i="1" s="1"/>
  <c r="AF23" i="1"/>
  <c r="AG23" i="1" s="1"/>
  <c r="AF10" i="1"/>
  <c r="AG10" i="1" s="1"/>
  <c r="O30" i="1"/>
  <c r="G50" i="5"/>
  <c r="W29" i="1"/>
  <c r="AK29" i="1" s="1"/>
  <c r="AX29" i="1" s="1"/>
  <c r="W37" i="1"/>
  <c r="AK37" i="1" s="1"/>
  <c r="AX37" i="1" s="1"/>
  <c r="G36" i="5"/>
  <c r="W18" i="1"/>
  <c r="AK18" i="1" s="1"/>
  <c r="AX18" i="1" s="1"/>
  <c r="G17" i="5"/>
  <c r="G25" i="5"/>
  <c r="W16" i="1"/>
  <c r="AK16" i="1" s="1"/>
  <c r="AX16" i="1" s="1"/>
  <c r="W19" i="1"/>
  <c r="AK19" i="1" s="1"/>
  <c r="AX19" i="1" s="1"/>
  <c r="G30" i="5"/>
  <c r="W12" i="1"/>
  <c r="AK12" i="1" s="1"/>
  <c r="AX12" i="1" s="1"/>
  <c r="G6" i="5"/>
  <c r="G11" i="5"/>
  <c r="G51" i="5"/>
  <c r="G9" i="5"/>
  <c r="W54" i="1"/>
  <c r="AK54" i="1" s="1"/>
  <c r="AX54" i="1" s="1"/>
  <c r="G48" i="5"/>
  <c r="W34" i="1"/>
  <c r="AK34" i="1" s="1"/>
  <c r="AX34" i="1" s="1"/>
  <c r="W35" i="1"/>
  <c r="AK35" i="1" s="1"/>
  <c r="AX35" i="1" s="1"/>
  <c r="G37" i="5"/>
  <c r="W27" i="1"/>
  <c r="AK27" i="1" s="1"/>
  <c r="AX27" i="1" s="1"/>
  <c r="G23" i="5"/>
  <c r="W25" i="1"/>
  <c r="AK25" i="1" s="1"/>
  <c r="AX25" i="1" s="1"/>
  <c r="W8" i="1"/>
  <c r="AK8" i="1" s="1"/>
  <c r="AX8" i="1" s="1"/>
  <c r="AY8" i="1" s="1"/>
  <c r="G26" i="5"/>
  <c r="G5" i="5"/>
  <c r="T16" i="1"/>
  <c r="AE12" i="1"/>
  <c r="H52" i="1"/>
  <c r="AD52" i="1" s="1"/>
  <c r="AH52" i="1" s="1"/>
  <c r="G30" i="1"/>
  <c r="I31" i="1"/>
  <c r="AF31" i="1" s="1"/>
  <c r="AG31" i="1" s="1"/>
  <c r="T13" i="1"/>
  <c r="O31" i="1"/>
  <c r="BA31" i="1" s="1"/>
  <c r="G45" i="1"/>
  <c r="BB36" i="1"/>
  <c r="H45" i="1"/>
  <c r="AD45" i="1" s="1"/>
  <c r="AH45" i="1" s="1"/>
  <c r="J47" i="1"/>
  <c r="AR47" i="1" s="1"/>
  <c r="AU47" i="1" s="1"/>
  <c r="T27" i="1"/>
  <c r="P46" i="1"/>
  <c r="I43" i="5" s="1"/>
  <c r="AE11" i="1"/>
  <c r="AA36" i="1"/>
  <c r="P38" i="1"/>
  <c r="I35" i="5" s="1"/>
  <c r="J38" i="1"/>
  <c r="AR38" i="1" s="1"/>
  <c r="AU38" i="1" s="1"/>
  <c r="P40" i="1"/>
  <c r="I37" i="5" s="1"/>
  <c r="J52" i="1"/>
  <c r="AR52" i="1" s="1"/>
  <c r="AU52" i="1" s="1"/>
  <c r="T23" i="1"/>
  <c r="T26" i="1"/>
  <c r="T12" i="1"/>
  <c r="T21" i="1"/>
  <c r="S126" i="2"/>
  <c r="P126" i="2"/>
  <c r="M126" i="2"/>
  <c r="I126" i="2"/>
  <c r="V126" i="2"/>
  <c r="V127" i="2"/>
  <c r="S127" i="2"/>
  <c r="P127" i="2"/>
  <c r="M127" i="2"/>
  <c r="I127" i="2"/>
  <c r="M128" i="2"/>
  <c r="I128" i="2"/>
  <c r="V128" i="2"/>
  <c r="P128" i="2"/>
  <c r="S128" i="2"/>
  <c r="I125" i="2"/>
  <c r="V125" i="2"/>
  <c r="S125" i="2"/>
  <c r="P125" i="2"/>
  <c r="M125" i="2"/>
  <c r="F115" i="2"/>
  <c r="C91" i="2" s="1"/>
  <c r="E91" i="2" s="1"/>
  <c r="I35" i="1"/>
  <c r="AF35" i="1" s="1"/>
  <c r="AG35" i="1" s="1"/>
  <c r="AF24" i="1"/>
  <c r="AG24" i="1" s="1"/>
  <c r="F142" i="2"/>
  <c r="I142" i="2" s="1"/>
  <c r="C102" i="2"/>
  <c r="E102" i="2" s="1"/>
  <c r="F143" i="2"/>
  <c r="C103" i="2"/>
  <c r="E103" i="2" s="1"/>
  <c r="F144" i="2"/>
  <c r="C104" i="2"/>
  <c r="E104" i="2" s="1"/>
  <c r="F141" i="2"/>
  <c r="I141" i="2" s="1"/>
  <c r="C101" i="2"/>
  <c r="E101" i="2" s="1"/>
  <c r="I36" i="1"/>
  <c r="AE36" i="1" s="1"/>
  <c r="AF19" i="1"/>
  <c r="AG19" i="1" s="1"/>
  <c r="J43" i="1"/>
  <c r="AR43" i="1" s="1"/>
  <c r="AU43" i="1" s="1"/>
  <c r="H43" i="1"/>
  <c r="AD43" i="1" s="1"/>
  <c r="AH43" i="1" s="1"/>
  <c r="O43" i="1"/>
  <c r="AA43" i="1" s="1"/>
  <c r="AE14" i="1"/>
  <c r="J36" i="1"/>
  <c r="AR36" i="1" s="1"/>
  <c r="AU36" i="1" s="1"/>
  <c r="AM7" i="1"/>
  <c r="BF7" i="1" s="1"/>
  <c r="AX7" i="1"/>
  <c r="AN7" i="1"/>
  <c r="T11" i="1"/>
  <c r="AF9" i="1"/>
  <c r="AG9" i="1" s="1"/>
  <c r="G36" i="1"/>
  <c r="P43" i="1"/>
  <c r="G43" i="1"/>
  <c r="P36" i="1"/>
  <c r="I33" i="5" s="1"/>
  <c r="H36" i="1"/>
  <c r="AD36" i="1" s="1"/>
  <c r="AH36" i="1" s="1"/>
  <c r="P48" i="1"/>
  <c r="I45" i="5" s="1"/>
  <c r="G55" i="1"/>
  <c r="AE43" i="1"/>
  <c r="AF15" i="1"/>
  <c r="AG15" i="1" s="1"/>
  <c r="O48" i="1"/>
  <c r="BB48" i="1" s="1"/>
  <c r="O33" i="1"/>
  <c r="AA33" i="1" s="1"/>
  <c r="I28" i="5"/>
  <c r="T31" i="1"/>
  <c r="AF55" i="1"/>
  <c r="AG55" i="1" s="1"/>
  <c r="AE55" i="1"/>
  <c r="G40" i="1"/>
  <c r="J33" i="1"/>
  <c r="AR33" i="1" s="1"/>
  <c r="AU33" i="1" s="1"/>
  <c r="T24" i="1"/>
  <c r="P33" i="1"/>
  <c r="I30" i="5" s="1"/>
  <c r="I40" i="1"/>
  <c r="H40" i="1"/>
  <c r="AD40" i="1" s="1"/>
  <c r="AH40" i="1" s="1"/>
  <c r="J55" i="1"/>
  <c r="AR55" i="1" s="1"/>
  <c r="AU55" i="1" s="1"/>
  <c r="P55" i="1"/>
  <c r="G31" i="1"/>
  <c r="O40" i="1"/>
  <c r="BA40" i="1" s="1"/>
  <c r="AR15" i="1"/>
  <c r="AU15" i="1" s="1"/>
  <c r="I48" i="1"/>
  <c r="G35" i="1"/>
  <c r="J46" i="1"/>
  <c r="AR46" i="1" s="1"/>
  <c r="AU46" i="1" s="1"/>
  <c r="H46" i="1"/>
  <c r="AD46" i="1" s="1"/>
  <c r="AH46" i="1" s="1"/>
  <c r="J48" i="1"/>
  <c r="AR48" i="1" s="1"/>
  <c r="AU48" i="1" s="1"/>
  <c r="H48" i="1"/>
  <c r="AD48" i="1" s="1"/>
  <c r="AH48" i="1" s="1"/>
  <c r="I46" i="1"/>
  <c r="P35" i="1"/>
  <c r="I32" i="5" s="1"/>
  <c r="G46" i="1"/>
  <c r="O38" i="1"/>
  <c r="G38" i="1"/>
  <c r="I38" i="1"/>
  <c r="AR13" i="1"/>
  <c r="AU13" i="1" s="1"/>
  <c r="H31" i="1"/>
  <c r="AD31" i="1" s="1"/>
  <c r="AH31" i="1" s="1"/>
  <c r="J31" i="1"/>
  <c r="AR31" i="1" s="1"/>
  <c r="AU31" i="1" s="1"/>
  <c r="I16" i="5"/>
  <c r="G47" i="1"/>
  <c r="AE27" i="1"/>
  <c r="AE17" i="1"/>
  <c r="AF21" i="1"/>
  <c r="AG21" i="1" s="1"/>
  <c r="H47" i="1"/>
  <c r="AD47" i="1" s="1"/>
  <c r="AH47" i="1" s="1"/>
  <c r="O47" i="1"/>
  <c r="BA47" i="1" s="1"/>
  <c r="T47" i="1"/>
  <c r="T19" i="1"/>
  <c r="I47" i="1"/>
  <c r="AF47" i="1" s="1"/>
  <c r="AG47" i="1" s="1"/>
  <c r="P32" i="1"/>
  <c r="I29" i="5" s="1"/>
  <c r="AA51" i="1"/>
  <c r="BB51" i="1"/>
  <c r="BB42" i="1"/>
  <c r="Z42" i="1"/>
  <c r="BB32" i="1"/>
  <c r="AA32" i="1"/>
  <c r="AR28" i="1"/>
  <c r="AU28" i="1" s="1"/>
  <c r="H42" i="1"/>
  <c r="AD42" i="1" s="1"/>
  <c r="AH42" i="1" s="1"/>
  <c r="J42" i="1"/>
  <c r="AR42" i="1" s="1"/>
  <c r="AU42" i="1" s="1"/>
  <c r="J51" i="1"/>
  <c r="AR51" i="1" s="1"/>
  <c r="AU51" i="1" s="1"/>
  <c r="J32" i="1"/>
  <c r="AR32" i="1" s="1"/>
  <c r="AU32" i="1" s="1"/>
  <c r="O50" i="1"/>
  <c r="I50" i="1"/>
  <c r="G50" i="1"/>
  <c r="J50" i="1"/>
  <c r="AR50" i="1" s="1"/>
  <c r="AU50" i="1" s="1"/>
  <c r="P50" i="1"/>
  <c r="H50" i="1"/>
  <c r="AD50" i="1" s="1"/>
  <c r="AH50" i="1" s="1"/>
  <c r="BA46" i="1"/>
  <c r="BB46" i="1"/>
  <c r="O35" i="1"/>
  <c r="J35" i="1"/>
  <c r="AR35" i="1" s="1"/>
  <c r="AU35" i="1" s="1"/>
  <c r="O49" i="1"/>
  <c r="H49" i="1"/>
  <c r="AD49" i="1" s="1"/>
  <c r="AH49" i="1" s="1"/>
  <c r="I49" i="1"/>
  <c r="P49" i="1"/>
  <c r="G49" i="1"/>
  <c r="J49" i="1"/>
  <c r="AR49" i="1" s="1"/>
  <c r="AU49" i="1" s="1"/>
  <c r="P44" i="1"/>
  <c r="G44" i="1"/>
  <c r="J44" i="1"/>
  <c r="AR44" i="1" s="1"/>
  <c r="AU44" i="1" s="1"/>
  <c r="I44" i="1"/>
  <c r="O44" i="1"/>
  <c r="H44" i="1"/>
  <c r="AD44" i="1" s="1"/>
  <c r="AH44" i="1" s="1"/>
  <c r="P51" i="1"/>
  <c r="G51" i="1"/>
  <c r="T18" i="1"/>
  <c r="T28" i="1"/>
  <c r="AR8" i="1"/>
  <c r="AU8" i="1" s="1"/>
  <c r="P42" i="1"/>
  <c r="I39" i="5" s="1"/>
  <c r="T14" i="1"/>
  <c r="AR11" i="1"/>
  <c r="AU11" i="1" s="1"/>
  <c r="I51" i="1"/>
  <c r="AF51" i="1" s="1"/>
  <c r="AG51" i="1" s="1"/>
  <c r="BA32" i="1"/>
  <c r="I32" i="1"/>
  <c r="Z32" i="1"/>
  <c r="I34" i="1"/>
  <c r="J34" i="1"/>
  <c r="AR34" i="1" s="1"/>
  <c r="AU34" i="1" s="1"/>
  <c r="G34" i="1"/>
  <c r="H34" i="1"/>
  <c r="AD34" i="1" s="1"/>
  <c r="AH34" i="1" s="1"/>
  <c r="O34" i="1"/>
  <c r="P34" i="1"/>
  <c r="I30" i="1"/>
  <c r="P30" i="1"/>
  <c r="J30" i="1"/>
  <c r="AR30" i="1" s="1"/>
  <c r="AU30" i="1" s="1"/>
  <c r="O52" i="1"/>
  <c r="P52" i="1"/>
  <c r="I52" i="1"/>
  <c r="O39" i="1"/>
  <c r="H39" i="1"/>
  <c r="AD39" i="1" s="1"/>
  <c r="AH39" i="1" s="1"/>
  <c r="P39" i="1"/>
  <c r="I39" i="1"/>
  <c r="G39" i="1"/>
  <c r="J39" i="1"/>
  <c r="AR39" i="1" s="1"/>
  <c r="AU39" i="1" s="1"/>
  <c r="I42" i="1"/>
  <c r="AE42" i="1" s="1"/>
  <c r="Z46" i="1"/>
  <c r="G32" i="1"/>
  <c r="H51" i="1"/>
  <c r="AD51" i="1" s="1"/>
  <c r="AH51" i="1" s="1"/>
  <c r="H32" i="1"/>
  <c r="AD32" i="1" s="1"/>
  <c r="AH32" i="1" s="1"/>
  <c r="AA46" i="1"/>
  <c r="O45" i="1"/>
  <c r="J45" i="1"/>
  <c r="AR45" i="1" s="1"/>
  <c r="AU45" i="1" s="1"/>
  <c r="O54" i="1"/>
  <c r="G54" i="1"/>
  <c r="J54" i="1"/>
  <c r="AR54" i="1" s="1"/>
  <c r="AU54" i="1" s="1"/>
  <c r="H54" i="1"/>
  <c r="AD54" i="1" s="1"/>
  <c r="AH54" i="1" s="1"/>
  <c r="P54" i="1"/>
  <c r="I54" i="1"/>
  <c r="H33" i="1"/>
  <c r="AD33" i="1" s="1"/>
  <c r="AH33" i="1" s="1"/>
  <c r="G33" i="1"/>
  <c r="H55" i="1"/>
  <c r="AD55" i="1" s="1"/>
  <c r="AH55" i="1" s="1"/>
  <c r="O55" i="1"/>
  <c r="I19" i="5"/>
  <c r="Z51" i="1"/>
  <c r="AF18" i="1"/>
  <c r="AG18" i="1" s="1"/>
  <c r="AE20" i="1"/>
  <c r="T8" i="1"/>
  <c r="AF33" i="1"/>
  <c r="AG33" i="1" s="1"/>
  <c r="AE33" i="1"/>
  <c r="I18" i="5"/>
  <c r="BA51" i="1"/>
  <c r="T22" i="1"/>
  <c r="T17" i="1"/>
  <c r="O53" i="1"/>
  <c r="I53" i="1"/>
  <c r="P53" i="1"/>
  <c r="G53" i="1"/>
  <c r="H53" i="1"/>
  <c r="AD53" i="1" s="1"/>
  <c r="AH53" i="1" s="1"/>
  <c r="J53" i="1"/>
  <c r="AR53" i="1" s="1"/>
  <c r="AU53" i="1" s="1"/>
  <c r="AF8" i="1"/>
  <c r="AG8" i="1" s="1"/>
  <c r="BA42" i="1"/>
  <c r="AR16" i="1"/>
  <c r="AU16" i="1" s="1"/>
  <c r="AR20" i="1"/>
  <c r="AU20" i="1" s="1"/>
  <c r="AR21" i="1"/>
  <c r="AU21" i="1" s="1"/>
  <c r="AR17" i="1"/>
  <c r="AU17" i="1" s="1"/>
  <c r="AR27" i="1"/>
  <c r="AU27" i="1" s="1"/>
  <c r="H37" i="1"/>
  <c r="AD37" i="1" s="1"/>
  <c r="AH37" i="1" s="1"/>
  <c r="O37" i="1"/>
  <c r="P37" i="1"/>
  <c r="I37" i="1"/>
  <c r="J37" i="1"/>
  <c r="AR37" i="1" s="1"/>
  <c r="AU37" i="1" s="1"/>
  <c r="G37" i="1"/>
  <c r="J10" i="5"/>
  <c r="T15" i="1"/>
  <c r="AF25" i="1"/>
  <c r="AG25" i="1" s="1"/>
  <c r="AE25" i="1"/>
  <c r="AA42" i="1"/>
  <c r="AR7" i="1"/>
  <c r="AU7" i="1" s="1"/>
  <c r="AR24" i="1"/>
  <c r="AU24" i="1" s="1"/>
  <c r="AR26" i="1"/>
  <c r="AU26" i="1" s="1"/>
  <c r="AR25" i="1"/>
  <c r="AU25" i="1" s="1"/>
  <c r="O56" i="1"/>
  <c r="G56" i="1"/>
  <c r="J56" i="1"/>
  <c r="AR56" i="1" s="1"/>
  <c r="AU56" i="1" s="1"/>
  <c r="P56" i="1"/>
  <c r="T56" i="1" s="1"/>
  <c r="I56" i="1"/>
  <c r="H56" i="1"/>
  <c r="AD56" i="1" s="1"/>
  <c r="AH56" i="1" s="1"/>
  <c r="AE45" i="1"/>
  <c r="AF45" i="1"/>
  <c r="AG45" i="1" s="1"/>
  <c r="T45" i="1"/>
  <c r="I22" i="5"/>
  <c r="T25" i="1"/>
  <c r="AE28" i="1"/>
  <c r="AF28" i="1"/>
  <c r="AG28" i="1" s="1"/>
  <c r="AR10" i="1"/>
  <c r="AU10" i="1" s="1"/>
  <c r="AR9" i="1"/>
  <c r="AU9" i="1" s="1"/>
  <c r="AR14" i="1"/>
  <c r="AU14" i="1" s="1"/>
  <c r="AR22" i="1"/>
  <c r="AU22" i="1" s="1"/>
  <c r="O41" i="1"/>
  <c r="H41" i="1"/>
  <c r="AD41" i="1" s="1"/>
  <c r="AH41" i="1" s="1"/>
  <c r="I41" i="1"/>
  <c r="P41" i="1"/>
  <c r="G41" i="1"/>
  <c r="J41" i="1"/>
  <c r="AR41" i="1" s="1"/>
  <c r="AU41" i="1" s="1"/>
  <c r="I26" i="5"/>
  <c r="T29" i="1"/>
  <c r="AF29" i="1"/>
  <c r="AG29" i="1" s="1"/>
  <c r="V13" i="2"/>
  <c r="AR19" i="1"/>
  <c r="AU19" i="1" s="1"/>
  <c r="AQ4" i="1"/>
  <c r="C45" i="1"/>
  <c r="P10" i="2" s="1"/>
  <c r="V120" i="2"/>
  <c r="P120" i="2"/>
  <c r="F136" i="2"/>
  <c r="S120" i="2"/>
  <c r="M120" i="2"/>
  <c r="I120" i="2"/>
  <c r="V124" i="2"/>
  <c r="I124" i="2"/>
  <c r="F140" i="2"/>
  <c r="P124" i="2"/>
  <c r="S124" i="2"/>
  <c r="M124" i="2"/>
  <c r="F133" i="2"/>
  <c r="M117" i="2"/>
  <c r="I117" i="2"/>
  <c r="S117" i="2"/>
  <c r="P117" i="2"/>
  <c r="V117" i="2"/>
  <c r="V116" i="2"/>
  <c r="P116" i="2"/>
  <c r="F132" i="2"/>
  <c r="S116" i="2"/>
  <c r="M116" i="2"/>
  <c r="I116" i="2"/>
  <c r="P119" i="2"/>
  <c r="M119" i="2"/>
  <c r="F135" i="2"/>
  <c r="I119" i="2"/>
  <c r="S119" i="2"/>
  <c r="V119" i="2"/>
  <c r="I118" i="2"/>
  <c r="P118" i="2"/>
  <c r="S118" i="2"/>
  <c r="F134" i="2"/>
  <c r="M118" i="2"/>
  <c r="V118" i="2"/>
  <c r="V122" i="2"/>
  <c r="P122" i="2"/>
  <c r="S122" i="2"/>
  <c r="F138" i="2"/>
  <c r="M122" i="2"/>
  <c r="I122" i="2"/>
  <c r="P121" i="2"/>
  <c r="M121" i="2"/>
  <c r="I121" i="2"/>
  <c r="S121" i="2"/>
  <c r="F137" i="2"/>
  <c r="V121" i="2"/>
  <c r="AR18" i="1"/>
  <c r="AU18" i="1" s="1"/>
  <c r="AR29" i="1"/>
  <c r="AU29" i="1" s="1"/>
  <c r="AR12" i="1"/>
  <c r="AU12" i="1" s="1"/>
  <c r="F139" i="2"/>
  <c r="P123" i="2"/>
  <c r="M123" i="2"/>
  <c r="V123" i="2"/>
  <c r="S123" i="2"/>
  <c r="I123" i="2"/>
  <c r="AJ11" i="1"/>
  <c r="V11" i="1"/>
  <c r="C47" i="1"/>
  <c r="AW12" i="1"/>
  <c r="V12" i="1"/>
  <c r="AJ12" i="1"/>
  <c r="O133" i="2" l="1"/>
  <c r="H132" i="2"/>
  <c r="AZ8" i="1"/>
  <c r="BA8" i="1" s="1"/>
  <c r="BB8" i="1" s="1"/>
  <c r="H133" i="2"/>
  <c r="H140" i="2"/>
  <c r="H134" i="2"/>
  <c r="H142" i="2"/>
  <c r="H141" i="2"/>
  <c r="H138" i="2"/>
  <c r="H144" i="2"/>
  <c r="H136" i="2"/>
  <c r="H137" i="2"/>
  <c r="H143" i="2"/>
  <c r="H135" i="2"/>
  <c r="H139" i="2"/>
  <c r="Z43" i="1"/>
  <c r="S51" i="1"/>
  <c r="H48" i="5" s="1"/>
  <c r="S45" i="1"/>
  <c r="H42" i="5" s="1"/>
  <c r="BG7" i="1"/>
  <c r="BH7" i="1" s="1"/>
  <c r="BB43" i="1"/>
  <c r="AE35" i="1"/>
  <c r="Z40" i="1"/>
  <c r="BA43" i="1"/>
  <c r="T46" i="1"/>
  <c r="S46" i="1"/>
  <c r="BA48" i="1"/>
  <c r="Z48" i="1"/>
  <c r="S55" i="1"/>
  <c r="H52" i="5" s="1"/>
  <c r="H25" i="5"/>
  <c r="S31" i="1"/>
  <c r="H28" i="5" s="1"/>
  <c r="AA31" i="1"/>
  <c r="BB31" i="1"/>
  <c r="AL8" i="1"/>
  <c r="AM8" i="1" s="1"/>
  <c r="M115" i="2"/>
  <c r="I115" i="2"/>
  <c r="C58" i="1"/>
  <c r="S15" i="2" s="1"/>
  <c r="C35" i="1"/>
  <c r="M15" i="2" s="1"/>
  <c r="H5" i="5"/>
  <c r="H6" i="5"/>
  <c r="H12" i="5"/>
  <c r="H26" i="5"/>
  <c r="H21" i="5"/>
  <c r="H4" i="5"/>
  <c r="M4" i="5" s="1"/>
  <c r="N4" i="5" s="1"/>
  <c r="H22" i="5"/>
  <c r="H18" i="5"/>
  <c r="H20" i="5"/>
  <c r="H15" i="5"/>
  <c r="H16" i="5"/>
  <c r="H7" i="5"/>
  <c r="V12" i="2"/>
  <c r="AY9" i="1"/>
  <c r="AY10" i="1" s="1"/>
  <c r="AA48" i="1"/>
  <c r="T38" i="1"/>
  <c r="T36" i="1"/>
  <c r="S36" i="1"/>
  <c r="Z31" i="1"/>
  <c r="AE31" i="1"/>
  <c r="S48" i="1"/>
  <c r="T40" i="1"/>
  <c r="S40" i="1"/>
  <c r="R132" i="2"/>
  <c r="U133" i="2"/>
  <c r="K133" i="2"/>
  <c r="K138" i="2"/>
  <c r="K139" i="2"/>
  <c r="P115" i="2"/>
  <c r="S115" i="2"/>
  <c r="U141" i="2"/>
  <c r="K143" i="2"/>
  <c r="R133" i="2"/>
  <c r="O132" i="2"/>
  <c r="O137" i="2"/>
  <c r="U132" i="2"/>
  <c r="V115" i="2"/>
  <c r="O139" i="2"/>
  <c r="F131" i="2"/>
  <c r="S131" i="2" s="1"/>
  <c r="R144" i="2"/>
  <c r="R143" i="2"/>
  <c r="O144" i="2"/>
  <c r="U143" i="2"/>
  <c r="U144" i="2"/>
  <c r="U142" i="2"/>
  <c r="K141" i="2"/>
  <c r="O135" i="2"/>
  <c r="O141" i="2"/>
  <c r="K144" i="2"/>
  <c r="K142" i="2"/>
  <c r="R141" i="2"/>
  <c r="O142" i="2"/>
  <c r="R142" i="2"/>
  <c r="O143" i="2"/>
  <c r="F158" i="2"/>
  <c r="P142" i="2"/>
  <c r="M142" i="2"/>
  <c r="S142" i="2"/>
  <c r="V142" i="2"/>
  <c r="F157" i="2"/>
  <c r="P141" i="2"/>
  <c r="S141" i="2"/>
  <c r="M141" i="2"/>
  <c r="V141" i="2"/>
  <c r="F160" i="2"/>
  <c r="P144" i="2"/>
  <c r="S144" i="2"/>
  <c r="M144" i="2"/>
  <c r="I144" i="2"/>
  <c r="V144" i="2"/>
  <c r="F159" i="2"/>
  <c r="M143" i="2"/>
  <c r="S143" i="2"/>
  <c r="P143" i="2"/>
  <c r="V143" i="2"/>
  <c r="I143" i="2"/>
  <c r="K132" i="2"/>
  <c r="U137" i="2"/>
  <c r="O134" i="2"/>
  <c r="U140" i="2"/>
  <c r="R139" i="2"/>
  <c r="R135" i="2"/>
  <c r="K137" i="2"/>
  <c r="U134" i="2"/>
  <c r="K140" i="2"/>
  <c r="R136" i="2"/>
  <c r="K134" i="2"/>
  <c r="R140" i="2"/>
  <c r="O140" i="2"/>
  <c r="R134" i="2"/>
  <c r="R137" i="2"/>
  <c r="O138" i="2"/>
  <c r="U135" i="2"/>
  <c r="K135" i="2"/>
  <c r="O136" i="2"/>
  <c r="R138" i="2"/>
  <c r="U139" i="2"/>
  <c r="U138" i="2"/>
  <c r="K136" i="2"/>
  <c r="U136" i="2"/>
  <c r="AF36" i="1"/>
  <c r="AG36" i="1" s="1"/>
  <c r="T48" i="1"/>
  <c r="AO7" i="1"/>
  <c r="I40" i="5"/>
  <c r="T43" i="1"/>
  <c r="T33" i="1"/>
  <c r="S43" i="1"/>
  <c r="H40" i="5" s="1"/>
  <c r="BB33" i="1"/>
  <c r="BA33" i="1"/>
  <c r="Z33" i="1"/>
  <c r="S33" i="1"/>
  <c r="H30" i="5" s="1"/>
  <c r="T32" i="1"/>
  <c r="AF40" i="1"/>
  <c r="AG40" i="1" s="1"/>
  <c r="AE40" i="1"/>
  <c r="I52" i="5"/>
  <c r="T55" i="1"/>
  <c r="X8" i="1"/>
  <c r="X9" i="1" s="1"/>
  <c r="X10" i="1" s="1"/>
  <c r="X11" i="1" s="1"/>
  <c r="AA47" i="1"/>
  <c r="T35" i="1"/>
  <c r="S35" i="1"/>
  <c r="H32" i="5" s="1"/>
  <c r="BB40" i="1"/>
  <c r="AA40" i="1"/>
  <c r="BD7" i="1"/>
  <c r="AF38" i="1"/>
  <c r="AG38" i="1" s="1"/>
  <c r="AE38" i="1"/>
  <c r="AE47" i="1"/>
  <c r="AF48" i="1"/>
  <c r="AG48" i="1" s="1"/>
  <c r="AE48" i="1"/>
  <c r="AA38" i="1"/>
  <c r="BA38" i="1"/>
  <c r="BB38" i="1"/>
  <c r="S38" i="1"/>
  <c r="Z38" i="1"/>
  <c r="AE46" i="1"/>
  <c r="AF46" i="1"/>
  <c r="AG46" i="1" s="1"/>
  <c r="BB47" i="1"/>
  <c r="S47" i="1"/>
  <c r="H44" i="5" s="1"/>
  <c r="Z47" i="1"/>
  <c r="S32" i="1"/>
  <c r="I46" i="5"/>
  <c r="T49" i="1"/>
  <c r="AF42" i="1"/>
  <c r="AG42" i="1" s="1"/>
  <c r="AA45" i="1"/>
  <c r="BA45" i="1"/>
  <c r="BB45" i="1"/>
  <c r="Z45" i="1"/>
  <c r="I36" i="5"/>
  <c r="T39" i="1"/>
  <c r="AF52" i="1"/>
  <c r="AG52" i="1" s="1"/>
  <c r="AE52" i="1"/>
  <c r="I27" i="5"/>
  <c r="T30" i="1"/>
  <c r="AA44" i="1"/>
  <c r="S44" i="1"/>
  <c r="Z44" i="1"/>
  <c r="BA44" i="1"/>
  <c r="BB44" i="1"/>
  <c r="I41" i="5"/>
  <c r="T44" i="1"/>
  <c r="AE49" i="1"/>
  <c r="AF49" i="1"/>
  <c r="AG49" i="1" s="1"/>
  <c r="AA35" i="1"/>
  <c r="BA35" i="1"/>
  <c r="Z35" i="1"/>
  <c r="BB35" i="1"/>
  <c r="I47" i="5"/>
  <c r="T50" i="1"/>
  <c r="BA50" i="1"/>
  <c r="Z50" i="1"/>
  <c r="AA50" i="1"/>
  <c r="BB50" i="1"/>
  <c r="S50" i="1"/>
  <c r="AF39" i="1"/>
  <c r="AG39" i="1" s="1"/>
  <c r="AE39" i="1"/>
  <c r="Z34" i="1"/>
  <c r="S34" i="1"/>
  <c r="BA34" i="1"/>
  <c r="AA34" i="1"/>
  <c r="BB34" i="1"/>
  <c r="AE34" i="1"/>
  <c r="AF34" i="1"/>
  <c r="AG34" i="1" s="1"/>
  <c r="AF50" i="1"/>
  <c r="AG50" i="1" s="1"/>
  <c r="AE50" i="1"/>
  <c r="S42" i="1"/>
  <c r="C36" i="1"/>
  <c r="M16" i="2" s="1"/>
  <c r="T42" i="1"/>
  <c r="AE51" i="1"/>
  <c r="AE54" i="1"/>
  <c r="AF54" i="1"/>
  <c r="AG54" i="1" s="1"/>
  <c r="I49" i="5"/>
  <c r="T52" i="1"/>
  <c r="AF30" i="1"/>
  <c r="AG30" i="1" s="1"/>
  <c r="AE30" i="1"/>
  <c r="AF32" i="1"/>
  <c r="AG32" i="1" s="1"/>
  <c r="AE32" i="1"/>
  <c r="AF44" i="1"/>
  <c r="AG44" i="1" s="1"/>
  <c r="AE44" i="1"/>
  <c r="S30" i="1"/>
  <c r="I51" i="5"/>
  <c r="T54" i="1"/>
  <c r="AA54" i="1"/>
  <c r="BB54" i="1"/>
  <c r="Z54" i="1"/>
  <c r="BA54" i="1"/>
  <c r="S54" i="1"/>
  <c r="BA39" i="1"/>
  <c r="Z39" i="1"/>
  <c r="AA39" i="1"/>
  <c r="BB39" i="1"/>
  <c r="S39" i="1"/>
  <c r="BA52" i="1"/>
  <c r="S52" i="1"/>
  <c r="BB52" i="1"/>
  <c r="AA52" i="1"/>
  <c r="Z52" i="1"/>
  <c r="I31" i="5"/>
  <c r="T34" i="1"/>
  <c r="I48" i="5"/>
  <c r="T51" i="1"/>
  <c r="BA49" i="1"/>
  <c r="BB49" i="1"/>
  <c r="Z49" i="1"/>
  <c r="AA49" i="1"/>
  <c r="S49" i="1"/>
  <c r="AA41" i="1"/>
  <c r="BA41" i="1"/>
  <c r="BB41" i="1"/>
  <c r="Z41" i="1"/>
  <c r="S41" i="1"/>
  <c r="I50" i="5"/>
  <c r="T53" i="1"/>
  <c r="I38" i="5"/>
  <c r="T41" i="1"/>
  <c r="J11" i="5"/>
  <c r="AE37" i="1"/>
  <c r="AF37" i="1"/>
  <c r="AG37" i="1" s="1"/>
  <c r="AF53" i="1"/>
  <c r="AG53" i="1" s="1"/>
  <c r="AE53" i="1"/>
  <c r="AE41" i="1"/>
  <c r="AF41" i="1"/>
  <c r="AG41" i="1" s="1"/>
  <c r="AE56" i="1"/>
  <c r="AF56" i="1"/>
  <c r="AG56" i="1" s="1"/>
  <c r="S56" i="1"/>
  <c r="I34" i="5"/>
  <c r="T37" i="1"/>
  <c r="BB53" i="1"/>
  <c r="AA53" i="1"/>
  <c r="BA53" i="1"/>
  <c r="S53" i="1"/>
  <c r="Z53" i="1"/>
  <c r="C48" i="1"/>
  <c r="P16" i="2" s="1"/>
  <c r="S37" i="1"/>
  <c r="BA37" i="1"/>
  <c r="Z37" i="1"/>
  <c r="AA37" i="1"/>
  <c r="BB37" i="1"/>
  <c r="F154" i="2"/>
  <c r="P138" i="2"/>
  <c r="I138" i="2"/>
  <c r="V138" i="2"/>
  <c r="M138" i="2"/>
  <c r="S138" i="2"/>
  <c r="F148" i="2"/>
  <c r="M132" i="2"/>
  <c r="P132" i="2"/>
  <c r="I132" i="2"/>
  <c r="S132" i="2"/>
  <c r="V132" i="2"/>
  <c r="F149" i="2"/>
  <c r="M133" i="2"/>
  <c r="P133" i="2"/>
  <c r="I133" i="2"/>
  <c r="V133" i="2"/>
  <c r="S133" i="2"/>
  <c r="F156" i="2"/>
  <c r="P140" i="2"/>
  <c r="I140" i="2"/>
  <c r="M140" i="2"/>
  <c r="S140" i="2"/>
  <c r="V140" i="2"/>
  <c r="S139" i="2"/>
  <c r="M139" i="2"/>
  <c r="F155" i="2"/>
  <c r="P139" i="2"/>
  <c r="I139" i="2"/>
  <c r="V139" i="2"/>
  <c r="F153" i="2"/>
  <c r="I137" i="2"/>
  <c r="P137" i="2"/>
  <c r="M137" i="2"/>
  <c r="V137" i="2"/>
  <c r="S137" i="2"/>
  <c r="F150" i="2"/>
  <c r="P134" i="2"/>
  <c r="I134" i="2"/>
  <c r="M134" i="2"/>
  <c r="S134" i="2"/>
  <c r="V134" i="2"/>
  <c r="F151" i="2"/>
  <c r="P135" i="2"/>
  <c r="I135" i="2"/>
  <c r="M135" i="2"/>
  <c r="S135" i="2"/>
  <c r="V135" i="2"/>
  <c r="F152" i="2"/>
  <c r="V136" i="2"/>
  <c r="I136" i="2"/>
  <c r="M136" i="2"/>
  <c r="P136" i="2"/>
  <c r="S136" i="2"/>
  <c r="C56" i="1"/>
  <c r="S10" i="2" s="1"/>
  <c r="V10" i="2" s="1"/>
  <c r="C59" i="1"/>
  <c r="S16" i="2" s="1"/>
  <c r="P15" i="2"/>
  <c r="AW13" i="1"/>
  <c r="V13" i="1"/>
  <c r="AJ13" i="1"/>
  <c r="H131" i="2" l="1"/>
  <c r="M5" i="5"/>
  <c r="AW5" i="5"/>
  <c r="V5" i="5"/>
  <c r="AZ9" i="1"/>
  <c r="BA9" i="1" s="1"/>
  <c r="BB9" i="1" s="1"/>
  <c r="H43" i="5"/>
  <c r="AN8" i="1"/>
  <c r="V15" i="2"/>
  <c r="K131" i="2"/>
  <c r="I131" i="2"/>
  <c r="H38" i="5"/>
  <c r="AN5" i="5"/>
  <c r="AE5" i="5"/>
  <c r="H41" i="5"/>
  <c r="H27" i="5"/>
  <c r="H45" i="5"/>
  <c r="H34" i="5"/>
  <c r="H35" i="5"/>
  <c r="H50" i="5"/>
  <c r="H29" i="5"/>
  <c r="H47" i="5"/>
  <c r="H39" i="5"/>
  <c r="H51" i="5"/>
  <c r="H31" i="5"/>
  <c r="H36" i="5"/>
  <c r="H46" i="5"/>
  <c r="H49" i="5"/>
  <c r="H37" i="5"/>
  <c r="H33" i="5"/>
  <c r="AY11" i="1"/>
  <c r="AZ10" i="1"/>
  <c r="BA10" i="1" s="1"/>
  <c r="BB10" i="1" s="1"/>
  <c r="P131" i="2"/>
  <c r="R131" i="2"/>
  <c r="O131" i="2"/>
  <c r="V131" i="2"/>
  <c r="U131" i="2"/>
  <c r="M131" i="2"/>
  <c r="F147" i="2"/>
  <c r="P147" i="2" s="1"/>
  <c r="M160" i="2"/>
  <c r="V160" i="2"/>
  <c r="I160" i="2"/>
  <c r="P160" i="2"/>
  <c r="S160" i="2"/>
  <c r="P159" i="2"/>
  <c r="S159" i="2"/>
  <c r="M159" i="2"/>
  <c r="V159" i="2"/>
  <c r="I159" i="2"/>
  <c r="M158" i="2"/>
  <c r="V158" i="2"/>
  <c r="P158" i="2"/>
  <c r="S158" i="2"/>
  <c r="I158" i="2"/>
  <c r="S157" i="2"/>
  <c r="M157" i="2"/>
  <c r="V157" i="2"/>
  <c r="P157" i="2"/>
  <c r="I157" i="2"/>
  <c r="Y10" i="1"/>
  <c r="Z10" i="1" s="1"/>
  <c r="AA10" i="1" s="1"/>
  <c r="Y9" i="1"/>
  <c r="Z9" i="1" s="1"/>
  <c r="AA9" i="1" s="1"/>
  <c r="BE8" i="1"/>
  <c r="X12" i="1"/>
  <c r="Y12" i="1" s="1"/>
  <c r="Z12" i="1" s="1"/>
  <c r="Y11" i="1"/>
  <c r="Z11" i="1" s="1"/>
  <c r="AA11" i="1" s="1"/>
  <c r="Y8" i="1"/>
  <c r="Z8" i="1" s="1"/>
  <c r="AA8" i="1" s="1"/>
  <c r="BD8" i="1"/>
  <c r="AL9" i="1"/>
  <c r="BE9" i="1" s="1"/>
  <c r="AO8" i="1"/>
  <c r="V16" i="2"/>
  <c r="J12" i="5"/>
  <c r="S156" i="2"/>
  <c r="P156" i="2"/>
  <c r="M156" i="2"/>
  <c r="V156" i="2"/>
  <c r="I156" i="2"/>
  <c r="S148" i="2"/>
  <c r="P148" i="2"/>
  <c r="M148" i="2"/>
  <c r="V148" i="2"/>
  <c r="I148" i="2"/>
  <c r="M153" i="2"/>
  <c r="V153" i="2"/>
  <c r="I153" i="2"/>
  <c r="S153" i="2"/>
  <c r="P153" i="2"/>
  <c r="S152" i="2"/>
  <c r="P152" i="2"/>
  <c r="M152" i="2"/>
  <c r="V152" i="2"/>
  <c r="I152" i="2"/>
  <c r="S150" i="2"/>
  <c r="P150" i="2"/>
  <c r="M150" i="2"/>
  <c r="I150" i="2"/>
  <c r="V150" i="2"/>
  <c r="M149" i="2"/>
  <c r="V149" i="2"/>
  <c r="I149" i="2"/>
  <c r="S149" i="2"/>
  <c r="P149" i="2"/>
  <c r="S154" i="2"/>
  <c r="P154" i="2"/>
  <c r="M154" i="2"/>
  <c r="V154" i="2"/>
  <c r="I154" i="2"/>
  <c r="M155" i="2"/>
  <c r="V155" i="2"/>
  <c r="I155" i="2"/>
  <c r="S155" i="2"/>
  <c r="P155" i="2"/>
  <c r="M151" i="2"/>
  <c r="V151" i="2"/>
  <c r="I151" i="2"/>
  <c r="S151" i="2"/>
  <c r="P151" i="2"/>
  <c r="AJ14" i="1"/>
  <c r="V14" i="1"/>
  <c r="AW14" i="1"/>
  <c r="I147" i="2" l="1"/>
  <c r="V147" i="2"/>
  <c r="M147" i="2"/>
  <c r="AY12" i="1"/>
  <c r="AZ11" i="1"/>
  <c r="BA11" i="1" s="1"/>
  <c r="BB11" i="1" s="1"/>
  <c r="S147" i="2"/>
  <c r="BD9" i="1"/>
  <c r="AL10" i="1"/>
  <c r="BD10" i="1" s="1"/>
  <c r="X13" i="1"/>
  <c r="X14" i="1" s="1"/>
  <c r="AM9" i="1"/>
  <c r="AN9" i="1" s="1"/>
  <c r="BG9" i="1" s="1"/>
  <c r="BH9" i="1" s="1"/>
  <c r="BG8" i="1"/>
  <c r="BH8" i="1" s="1"/>
  <c r="BF8" i="1"/>
  <c r="J13" i="5"/>
  <c r="AA12" i="1"/>
  <c r="AW15" i="1"/>
  <c r="AJ15" i="1"/>
  <c r="V15" i="1"/>
  <c r="AY13" i="1" l="1"/>
  <c r="AZ12" i="1"/>
  <c r="BA12" i="1" s="1"/>
  <c r="BB12" i="1" s="1"/>
  <c r="BE10" i="1"/>
  <c r="AL11" i="1"/>
  <c r="AL12" i="1" s="1"/>
  <c r="AM10" i="1"/>
  <c r="BF10" i="1" s="1"/>
  <c r="Y13" i="1"/>
  <c r="Z13" i="1" s="1"/>
  <c r="AA13" i="1" s="1"/>
  <c r="AO9" i="1"/>
  <c r="BF9" i="1"/>
  <c r="J14" i="5"/>
  <c r="AJ16" i="1"/>
  <c r="V16" i="1"/>
  <c r="AW16" i="1"/>
  <c r="Y14" i="1"/>
  <c r="Z14" i="1" s="1"/>
  <c r="X15" i="1"/>
  <c r="AY14" i="1" l="1"/>
  <c r="AZ13" i="1"/>
  <c r="BA13" i="1" s="1"/>
  <c r="BB13" i="1" s="1"/>
  <c r="AM11" i="1"/>
  <c r="BF11" i="1" s="1"/>
  <c r="BE11" i="1"/>
  <c r="BD11" i="1"/>
  <c r="AO10" i="1"/>
  <c r="AN10" i="1"/>
  <c r="BG10" i="1" s="1"/>
  <c r="BH10" i="1" s="1"/>
  <c r="J15" i="5"/>
  <c r="BD12" i="1"/>
  <c r="AM12" i="1"/>
  <c r="AL13" i="1"/>
  <c r="BE12" i="1"/>
  <c r="Y15" i="1"/>
  <c r="Z15" i="1" s="1"/>
  <c r="X16" i="1"/>
  <c r="AA14" i="1"/>
  <c r="AJ17" i="1"/>
  <c r="AW17" i="1"/>
  <c r="V17" i="1"/>
  <c r="AZ14" i="1" l="1"/>
  <c r="BA14" i="1" s="1"/>
  <c r="BB14" i="1" s="1"/>
  <c r="AY15" i="1"/>
  <c r="AO11" i="1"/>
  <c r="AN11" i="1"/>
  <c r="BG11" i="1" s="1"/>
  <c r="BH11" i="1" s="1"/>
  <c r="J16" i="5"/>
  <c r="BD13" i="1"/>
  <c r="AM13" i="1"/>
  <c r="AN13" i="1" s="1"/>
  <c r="BG13" i="1" s="1"/>
  <c r="BH13" i="1" s="1"/>
  <c r="BE13" i="1"/>
  <c r="AL14" i="1"/>
  <c r="BF12" i="1"/>
  <c r="AO12" i="1"/>
  <c r="AN12" i="1"/>
  <c r="BG12" i="1" s="1"/>
  <c r="BH12" i="1" s="1"/>
  <c r="AA15" i="1"/>
  <c r="Y16" i="1"/>
  <c r="Z16" i="1" s="1"/>
  <c r="X17" i="1"/>
  <c r="V18" i="1"/>
  <c r="AW18" i="1"/>
  <c r="AJ18" i="1"/>
  <c r="AZ15" i="1" l="1"/>
  <c r="BA15" i="1" s="1"/>
  <c r="BB15" i="1" s="1"/>
  <c r="AY16" i="1"/>
  <c r="J17" i="5"/>
  <c r="AM14" i="1"/>
  <c r="AO14" i="1" s="1"/>
  <c r="AL15" i="1"/>
  <c r="BD14" i="1"/>
  <c r="BE14" i="1"/>
  <c r="BF13" i="1"/>
  <c r="AO13" i="1"/>
  <c r="AA16" i="1"/>
  <c r="V19" i="1"/>
  <c r="AW19" i="1"/>
  <c r="AJ19" i="1"/>
  <c r="Y17" i="1"/>
  <c r="Z17" i="1" s="1"/>
  <c r="X18" i="1"/>
  <c r="AZ16" i="1" l="1"/>
  <c r="BA16" i="1" s="1"/>
  <c r="BB16" i="1" s="1"/>
  <c r="AY17" i="1"/>
  <c r="J18" i="5"/>
  <c r="BD15" i="1"/>
  <c r="AM15" i="1"/>
  <c r="AL16" i="1"/>
  <c r="BE15" i="1"/>
  <c r="BF14" i="1"/>
  <c r="AN14" i="1"/>
  <c r="BG14" i="1" s="1"/>
  <c r="BH14" i="1" s="1"/>
  <c r="AA17" i="1"/>
  <c r="V20" i="1"/>
  <c r="AW20" i="1"/>
  <c r="AJ20" i="1"/>
  <c r="X19" i="1"/>
  <c r="Y18" i="1"/>
  <c r="Z18" i="1" s="1"/>
  <c r="AZ17" i="1" l="1"/>
  <c r="BA17" i="1" s="1"/>
  <c r="BB17" i="1" s="1"/>
  <c r="AY18" i="1"/>
  <c r="J19" i="5"/>
  <c r="BD16" i="1"/>
  <c r="AL17" i="1"/>
  <c r="AM16" i="1"/>
  <c r="BE16" i="1"/>
  <c r="BF15" i="1"/>
  <c r="AN15" i="1"/>
  <c r="BG15" i="1" s="1"/>
  <c r="BH15" i="1" s="1"/>
  <c r="AO15" i="1"/>
  <c r="X20" i="1"/>
  <c r="Y19" i="1"/>
  <c r="Z19" i="1" s="1"/>
  <c r="V21" i="1"/>
  <c r="AW21" i="1"/>
  <c r="AJ21" i="1"/>
  <c r="AA18" i="1"/>
  <c r="AY19" i="1" l="1"/>
  <c r="AZ18" i="1"/>
  <c r="BA18" i="1" s="1"/>
  <c r="BB18" i="1" s="1"/>
  <c r="J20" i="5"/>
  <c r="BF16" i="1"/>
  <c r="AO16" i="1"/>
  <c r="BD17" i="1"/>
  <c r="AL18" i="1"/>
  <c r="AM17" i="1"/>
  <c r="AO17" i="1" s="1"/>
  <c r="BE17" i="1"/>
  <c r="AN16" i="1"/>
  <c r="BG16" i="1" s="1"/>
  <c r="BH16" i="1" s="1"/>
  <c r="AA19" i="1"/>
  <c r="AJ22" i="1"/>
  <c r="AW22" i="1"/>
  <c r="V22" i="1"/>
  <c r="Y20" i="1"/>
  <c r="Z20" i="1" s="1"/>
  <c r="X21" i="1"/>
  <c r="AZ19" i="1" l="1"/>
  <c r="BA19" i="1" s="1"/>
  <c r="BB19" i="1" s="1"/>
  <c r="AY20" i="1"/>
  <c r="J21" i="5"/>
  <c r="BD18" i="1"/>
  <c r="AL19" i="1"/>
  <c r="AM18" i="1"/>
  <c r="BF18" i="1" s="1"/>
  <c r="BE18" i="1"/>
  <c r="BF17" i="1"/>
  <c r="AN17" i="1"/>
  <c r="BG17" i="1" s="1"/>
  <c r="BH17" i="1" s="1"/>
  <c r="AA20" i="1"/>
  <c r="AJ23" i="1"/>
  <c r="V23" i="1"/>
  <c r="AW23" i="1"/>
  <c r="X22" i="1"/>
  <c r="Y21" i="1"/>
  <c r="Z21" i="1" s="1"/>
  <c r="AZ20" i="1" l="1"/>
  <c r="BA20" i="1" s="1"/>
  <c r="BB20" i="1" s="1"/>
  <c r="AY21" i="1"/>
  <c r="J22" i="5"/>
  <c r="BD19" i="1"/>
  <c r="AL20" i="1"/>
  <c r="AM19" i="1"/>
  <c r="BE19" i="1"/>
  <c r="AO18" i="1"/>
  <c r="AN18" i="1"/>
  <c r="BG18" i="1" s="1"/>
  <c r="BH18" i="1" s="1"/>
  <c r="AA21" i="1"/>
  <c r="X23" i="1"/>
  <c r="Y22" i="1"/>
  <c r="Z22" i="1" s="1"/>
  <c r="AJ24" i="1"/>
  <c r="V24" i="1"/>
  <c r="AW24" i="1"/>
  <c r="AZ21" i="1" l="1"/>
  <c r="BA21" i="1" s="1"/>
  <c r="BB21" i="1" s="1"/>
  <c r="AY22" i="1"/>
  <c r="J23" i="5"/>
  <c r="BF19" i="1"/>
  <c r="AO19" i="1"/>
  <c r="AN19" i="1"/>
  <c r="BG19" i="1" s="1"/>
  <c r="BH19" i="1" s="1"/>
  <c r="BD20" i="1"/>
  <c r="AM20" i="1"/>
  <c r="AN20" i="1" s="1"/>
  <c r="BG20" i="1" s="1"/>
  <c r="BH20" i="1" s="1"/>
  <c r="AL21" i="1"/>
  <c r="BE20" i="1"/>
  <c r="AA22" i="1"/>
  <c r="V25" i="1"/>
  <c r="AW25" i="1"/>
  <c r="AJ25" i="1"/>
  <c r="Y23" i="1"/>
  <c r="Z23" i="1" s="1"/>
  <c r="X24" i="1"/>
  <c r="AY23" i="1" l="1"/>
  <c r="AZ22" i="1"/>
  <c r="BA22" i="1" s="1"/>
  <c r="BB22" i="1" s="1"/>
  <c r="J24" i="5"/>
  <c r="BE21" i="1"/>
  <c r="AL22" i="1"/>
  <c r="AM21" i="1"/>
  <c r="BD21" i="1"/>
  <c r="BF20" i="1"/>
  <c r="AO20" i="1"/>
  <c r="AA23" i="1"/>
  <c r="C40" i="1"/>
  <c r="X25" i="1"/>
  <c r="Y24" i="1"/>
  <c r="C38" i="1" s="1"/>
  <c r="M18" i="2" s="1"/>
  <c r="C39" i="1"/>
  <c r="M19" i="2" s="1"/>
  <c r="V26" i="1"/>
  <c r="AW26" i="1"/>
  <c r="AJ26" i="1"/>
  <c r="AZ23" i="1" l="1"/>
  <c r="BA23" i="1" s="1"/>
  <c r="AY24" i="1"/>
  <c r="J25" i="5"/>
  <c r="BF21" i="1"/>
  <c r="AN21" i="1"/>
  <c r="BG21" i="1" s="1"/>
  <c r="BH21" i="1" s="1"/>
  <c r="AO21" i="1"/>
  <c r="BD22" i="1"/>
  <c r="AM22" i="1"/>
  <c r="BF22" i="1" s="1"/>
  <c r="BE22" i="1"/>
  <c r="AL23" i="1"/>
  <c r="M20" i="2"/>
  <c r="M22" i="2" s="1"/>
  <c r="AW27" i="1"/>
  <c r="AJ27" i="1"/>
  <c r="V27" i="1"/>
  <c r="Y25" i="1"/>
  <c r="Z25" i="1" s="1"/>
  <c r="X26" i="1"/>
  <c r="Z24" i="1"/>
  <c r="AZ24" i="1" l="1"/>
  <c r="C61" i="1" s="1"/>
  <c r="S18" i="2" s="1"/>
  <c r="C62" i="1"/>
  <c r="S19" i="2" s="1"/>
  <c r="AY25" i="1"/>
  <c r="C63" i="1"/>
  <c r="BB23" i="1"/>
  <c r="J26" i="5"/>
  <c r="AN22" i="1"/>
  <c r="BG22" i="1" s="1"/>
  <c r="BH22" i="1" s="1"/>
  <c r="AO22" i="1"/>
  <c r="BD23" i="1"/>
  <c r="BE23" i="1"/>
  <c r="AL24" i="1"/>
  <c r="AM23" i="1"/>
  <c r="AA25" i="1"/>
  <c r="X27" i="1"/>
  <c r="Y26" i="1"/>
  <c r="Z26" i="1" s="1"/>
  <c r="AA24" i="1"/>
  <c r="AJ28" i="1"/>
  <c r="V28" i="1"/>
  <c r="AW28" i="1"/>
  <c r="S20" i="2" l="1"/>
  <c r="S22" i="2" s="1"/>
  <c r="BA24" i="1"/>
  <c r="BB24" i="1" s="1"/>
  <c r="AY26" i="1"/>
  <c r="AZ25" i="1"/>
  <c r="BA25" i="1" s="1"/>
  <c r="BB25" i="1" s="1"/>
  <c r="J27" i="5"/>
  <c r="BD24" i="1"/>
  <c r="C51" i="1"/>
  <c r="P19" i="2" s="1"/>
  <c r="V19" i="2" s="1"/>
  <c r="I70" i="2" s="1"/>
  <c r="BE24" i="1"/>
  <c r="AM24" i="1"/>
  <c r="AL25" i="1"/>
  <c r="BF23" i="1"/>
  <c r="AO23" i="1"/>
  <c r="AN23" i="1"/>
  <c r="AA26" i="1"/>
  <c r="X28" i="1"/>
  <c r="Y27" i="1"/>
  <c r="Z27" i="1" s="1"/>
  <c r="V29" i="1"/>
  <c r="AJ29" i="1"/>
  <c r="AW29" i="1"/>
  <c r="AY27" i="1" l="1"/>
  <c r="AZ26" i="1"/>
  <c r="BA26" i="1" s="1"/>
  <c r="BB26" i="1" s="1"/>
  <c r="J28" i="5"/>
  <c r="BF24" i="1"/>
  <c r="C50" i="1"/>
  <c r="P18" i="2" s="1"/>
  <c r="V18" i="2" s="1"/>
  <c r="I69" i="2" s="1"/>
  <c r="AO24" i="1"/>
  <c r="AN24" i="1"/>
  <c r="BG24" i="1" s="1"/>
  <c r="BH24" i="1" s="1"/>
  <c r="C52" i="1"/>
  <c r="BG23" i="1"/>
  <c r="BH23" i="1" s="1"/>
  <c r="BD25" i="1"/>
  <c r="AL26" i="1"/>
  <c r="AM25" i="1"/>
  <c r="BE25" i="1"/>
  <c r="AA27" i="1"/>
  <c r="Y28" i="1"/>
  <c r="Z28" i="1" s="1"/>
  <c r="X29" i="1"/>
  <c r="AJ30" i="1"/>
  <c r="AW30" i="1"/>
  <c r="V30" i="1"/>
  <c r="AZ27" i="1" l="1"/>
  <c r="BA27" i="1" s="1"/>
  <c r="BB27" i="1" s="1"/>
  <c r="AY28" i="1"/>
  <c r="J29" i="5"/>
  <c r="BF25" i="1"/>
  <c r="AO25" i="1"/>
  <c r="AN25" i="1"/>
  <c r="BG25" i="1" s="1"/>
  <c r="BH25" i="1" s="1"/>
  <c r="BD26" i="1"/>
  <c r="BE26" i="1"/>
  <c r="AM26" i="1"/>
  <c r="AL27" i="1"/>
  <c r="P20" i="2"/>
  <c r="V20" i="2" s="1"/>
  <c r="AA28" i="1"/>
  <c r="V31" i="1"/>
  <c r="AJ31" i="1"/>
  <c r="AW31" i="1"/>
  <c r="Y29" i="1"/>
  <c r="Z29" i="1" s="1"/>
  <c r="X30" i="1"/>
  <c r="V22" i="2" l="1"/>
  <c r="I71" i="2"/>
  <c r="AZ28" i="1"/>
  <c r="BA28" i="1" s="1"/>
  <c r="BB28" i="1" s="1"/>
  <c r="AY29" i="1"/>
  <c r="J30" i="5"/>
  <c r="AL28" i="1"/>
  <c r="AM27" i="1"/>
  <c r="BD27" i="1"/>
  <c r="BE27" i="1"/>
  <c r="BF26" i="1"/>
  <c r="AO26" i="1"/>
  <c r="AN26" i="1"/>
  <c r="BG26" i="1" s="1"/>
  <c r="BH26" i="1" s="1"/>
  <c r="P22" i="2"/>
  <c r="AA29" i="1"/>
  <c r="X31" i="1"/>
  <c r="Y30" i="1"/>
  <c r="Z30" i="1" s="1"/>
  <c r="V32" i="1"/>
  <c r="AW32" i="1"/>
  <c r="AJ32" i="1"/>
  <c r="AZ29" i="1" l="1"/>
  <c r="BA29" i="1" s="1"/>
  <c r="BB29" i="1" s="1"/>
  <c r="AY30" i="1"/>
  <c r="J31" i="5"/>
  <c r="BF27" i="1"/>
  <c r="AO27" i="1"/>
  <c r="AN27" i="1"/>
  <c r="BG27" i="1" s="1"/>
  <c r="BH27" i="1" s="1"/>
  <c r="BD28" i="1"/>
  <c r="BE28" i="1"/>
  <c r="AM28" i="1"/>
  <c r="BF28" i="1" s="1"/>
  <c r="AL29" i="1"/>
  <c r="AA30" i="1"/>
  <c r="AJ33" i="1"/>
  <c r="AW33" i="1"/>
  <c r="V33" i="1"/>
  <c r="X32" i="1"/>
  <c r="Y31" i="1"/>
  <c r="AZ30" i="1" l="1"/>
  <c r="BA30" i="1" s="1"/>
  <c r="BB30" i="1" s="1"/>
  <c r="AY31" i="1"/>
  <c r="S70" i="2"/>
  <c r="N6" i="6" s="1"/>
  <c r="I66" i="2"/>
  <c r="S64" i="2"/>
  <c r="BD3" i="5"/>
  <c r="BC3" i="5"/>
  <c r="BD4" i="5"/>
  <c r="I65" i="2"/>
  <c r="I73" i="2" s="1"/>
  <c r="J32" i="5"/>
  <c r="AO28" i="1"/>
  <c r="AN28" i="1"/>
  <c r="BG28" i="1" s="1"/>
  <c r="BH28" i="1" s="1"/>
  <c r="BD29" i="1"/>
  <c r="BE29" i="1"/>
  <c r="AL30" i="1"/>
  <c r="AM29" i="1"/>
  <c r="BF29" i="1" s="1"/>
  <c r="AJ34" i="1"/>
  <c r="V34" i="1"/>
  <c r="AW34" i="1"/>
  <c r="X33" i="1"/>
  <c r="Y32" i="1"/>
  <c r="P69" i="2"/>
  <c r="K14" i="6" l="1"/>
  <c r="K11" i="6"/>
  <c r="K10" i="6"/>
  <c r="K9" i="6"/>
  <c r="N4" i="6"/>
  <c r="P73" i="2"/>
  <c r="S71" i="2"/>
  <c r="AZ31" i="1"/>
  <c r="AY32" i="1"/>
  <c r="BF5" i="5"/>
  <c r="BG5" i="5" s="1"/>
  <c r="BH5" i="5" s="1"/>
  <c r="BJ5" i="5" s="1"/>
  <c r="J33" i="5"/>
  <c r="AO29" i="1"/>
  <c r="BD30" i="1"/>
  <c r="BE30" i="1"/>
  <c r="AM30" i="1"/>
  <c r="AL31" i="1"/>
  <c r="AN29" i="1"/>
  <c r="BG29" i="1" s="1"/>
  <c r="BH29" i="1" s="1"/>
  <c r="X34" i="1"/>
  <c r="Y33" i="1"/>
  <c r="AW35" i="1"/>
  <c r="AJ35" i="1"/>
  <c r="V35" i="1"/>
  <c r="N10" i="6" l="1"/>
  <c r="K12" i="6"/>
  <c r="AY33" i="1"/>
  <c r="AZ32" i="1"/>
  <c r="BF6" i="5"/>
  <c r="BG6" i="5" s="1"/>
  <c r="J34" i="5"/>
  <c r="BF30" i="1"/>
  <c r="AN30" i="1"/>
  <c r="BG30" i="1" s="1"/>
  <c r="BH30" i="1" s="1"/>
  <c r="AO30" i="1"/>
  <c r="AL32" i="1"/>
  <c r="BD31" i="1"/>
  <c r="BE31" i="1"/>
  <c r="AM31" i="1"/>
  <c r="BF31" i="1" s="1"/>
  <c r="AJ36" i="1"/>
  <c r="V36" i="1"/>
  <c r="AW36" i="1"/>
  <c r="Y34" i="1"/>
  <c r="X35" i="1"/>
  <c r="AZ33" i="1" l="1"/>
  <c r="AY34" i="1"/>
  <c r="BH6" i="5"/>
  <c r="BJ6" i="5" s="1"/>
  <c r="BF7" i="5"/>
  <c r="BG7" i="5" s="1"/>
  <c r="J35" i="5"/>
  <c r="AO31" i="1"/>
  <c r="AM32" i="1"/>
  <c r="BE32" i="1"/>
  <c r="BD32" i="1"/>
  <c r="AL33" i="1"/>
  <c r="AN31" i="1"/>
  <c r="BG31" i="1" s="1"/>
  <c r="BH31" i="1" s="1"/>
  <c r="V37" i="1"/>
  <c r="AW37" i="1"/>
  <c r="AJ37" i="1"/>
  <c r="X36" i="1"/>
  <c r="Y35" i="1"/>
  <c r="AY35" i="1" l="1"/>
  <c r="AZ34" i="1"/>
  <c r="BH7" i="5"/>
  <c r="BJ7" i="5" s="1"/>
  <c r="BF8" i="5"/>
  <c r="BG8" i="5" s="1"/>
  <c r="J36" i="5"/>
  <c r="BD33" i="1"/>
  <c r="AL34" i="1"/>
  <c r="AM33" i="1"/>
  <c r="AN33" i="1" s="1"/>
  <c r="BG33" i="1" s="1"/>
  <c r="BH33" i="1" s="1"/>
  <c r="BE33" i="1"/>
  <c r="BF32" i="1"/>
  <c r="AO32" i="1"/>
  <c r="AN32" i="1"/>
  <c r="BG32" i="1" s="1"/>
  <c r="BH32" i="1" s="1"/>
  <c r="AJ38" i="1"/>
  <c r="AW38" i="1"/>
  <c r="V38" i="1"/>
  <c r="X37" i="1"/>
  <c r="Y36" i="1"/>
  <c r="AZ35" i="1" l="1"/>
  <c r="AY36" i="1"/>
  <c r="BH8" i="5"/>
  <c r="BJ8" i="5" s="1"/>
  <c r="BF9" i="5"/>
  <c r="BG9" i="5" s="1"/>
  <c r="J37" i="5"/>
  <c r="BF33" i="1"/>
  <c r="AO33" i="1"/>
  <c r="AM34" i="1"/>
  <c r="BE34" i="1"/>
  <c r="AL35" i="1"/>
  <c r="BD34" i="1"/>
  <c r="Y37" i="1"/>
  <c r="X38" i="1"/>
  <c r="V39" i="1"/>
  <c r="AW39" i="1"/>
  <c r="AJ39" i="1"/>
  <c r="AY37" i="1" l="1"/>
  <c r="AZ36" i="1"/>
  <c r="BH9" i="5"/>
  <c r="BJ9" i="5" s="1"/>
  <c r="BF10" i="5"/>
  <c r="BG10" i="5" s="1"/>
  <c r="J38" i="5"/>
  <c r="BF34" i="1"/>
  <c r="AN34" i="1"/>
  <c r="BG34" i="1" s="1"/>
  <c r="BH34" i="1" s="1"/>
  <c r="AO34" i="1"/>
  <c r="BD35" i="1"/>
  <c r="AL36" i="1"/>
  <c r="AM35" i="1"/>
  <c r="BF35" i="1" s="1"/>
  <c r="BE35" i="1"/>
  <c r="V40" i="1"/>
  <c r="AJ40" i="1"/>
  <c r="AW40" i="1"/>
  <c r="X39" i="1"/>
  <c r="Y38" i="1"/>
  <c r="AY38" i="1" l="1"/>
  <c r="AZ37" i="1"/>
  <c r="BH10" i="5"/>
  <c r="BJ10" i="5" s="1"/>
  <c r="BF11" i="5"/>
  <c r="J39" i="5"/>
  <c r="AO35" i="1"/>
  <c r="AN35" i="1"/>
  <c r="BG35" i="1" s="1"/>
  <c r="BH35" i="1" s="1"/>
  <c r="AL37" i="1"/>
  <c r="BE36" i="1"/>
  <c r="BD36" i="1"/>
  <c r="AM36" i="1"/>
  <c r="AO36" i="1" s="1"/>
  <c r="Y39" i="1"/>
  <c r="X40" i="1"/>
  <c r="AW41" i="1"/>
  <c r="AJ41" i="1"/>
  <c r="V41" i="1"/>
  <c r="BI13" i="5" a="1"/>
  <c r="BI14" i="5" a="1"/>
  <c r="BI12" i="5" a="1"/>
  <c r="BI15" i="5" a="1"/>
  <c r="BI15" i="5" l="1"/>
  <c r="BI12" i="5"/>
  <c r="BI14" i="5"/>
  <c r="BI13" i="5"/>
  <c r="BG11" i="5"/>
  <c r="BH11" i="5" s="1"/>
  <c r="BJ11" i="5" s="1"/>
  <c r="AZ38" i="1"/>
  <c r="AY39" i="1"/>
  <c r="J40" i="5"/>
  <c r="BD37" i="1"/>
  <c r="AL38" i="1"/>
  <c r="AM37" i="1"/>
  <c r="BE37" i="1"/>
  <c r="BF36" i="1"/>
  <c r="AN36" i="1"/>
  <c r="BG36" i="1" s="1"/>
  <c r="BH36" i="1" s="1"/>
  <c r="Y40" i="1"/>
  <c r="X41" i="1"/>
  <c r="AJ42" i="1"/>
  <c r="AW42" i="1"/>
  <c r="V42" i="1"/>
  <c r="BF12" i="5" l="1"/>
  <c r="BG12" i="5" s="1"/>
  <c r="BH12" i="5" s="1"/>
  <c r="BJ12" i="5" s="1"/>
  <c r="AY40" i="1"/>
  <c r="AZ39" i="1"/>
  <c r="J41" i="5"/>
  <c r="BF37" i="1"/>
  <c r="AO37" i="1"/>
  <c r="AN37" i="1"/>
  <c r="BG37" i="1" s="1"/>
  <c r="BH37" i="1" s="1"/>
  <c r="BD38" i="1"/>
  <c r="BE38" i="1"/>
  <c r="AL39" i="1"/>
  <c r="AM38" i="1"/>
  <c r="AJ43" i="1"/>
  <c r="V43" i="1"/>
  <c r="AW43" i="1"/>
  <c r="Y41" i="1"/>
  <c r="X42" i="1"/>
  <c r="BF13" i="5" l="1"/>
  <c r="BG13" i="5" s="1"/>
  <c r="BH13" i="5" s="1"/>
  <c r="BJ13" i="5" s="1"/>
  <c r="AY41" i="1"/>
  <c r="AZ40" i="1"/>
  <c r="J42" i="5"/>
  <c r="BF38" i="1"/>
  <c r="AN38" i="1"/>
  <c r="BG38" i="1" s="1"/>
  <c r="BH38" i="1" s="1"/>
  <c r="AO38" i="1"/>
  <c r="AL40" i="1"/>
  <c r="BD39" i="1"/>
  <c r="AM39" i="1"/>
  <c r="BF39" i="1" s="1"/>
  <c r="BE39" i="1"/>
  <c r="AW44" i="1"/>
  <c r="AJ44" i="1"/>
  <c r="V44" i="1"/>
  <c r="X43" i="1"/>
  <c r="Y42" i="1"/>
  <c r="BF14" i="5" l="1"/>
  <c r="BG14" i="5" s="1"/>
  <c r="BH14" i="5" s="1"/>
  <c r="BJ14" i="5" s="1"/>
  <c r="AZ41" i="1"/>
  <c r="AY42" i="1"/>
  <c r="J43" i="5"/>
  <c r="AO39" i="1"/>
  <c r="BE40" i="1"/>
  <c r="BD40" i="1"/>
  <c r="AL41" i="1"/>
  <c r="AM40" i="1"/>
  <c r="AN39" i="1"/>
  <c r="BG39" i="1" s="1"/>
  <c r="BH39" i="1" s="1"/>
  <c r="AJ45" i="1"/>
  <c r="V45" i="1"/>
  <c r="AW45" i="1"/>
  <c r="X44" i="1"/>
  <c r="Y43" i="1"/>
  <c r="BF15" i="5" l="1"/>
  <c r="AY43" i="1"/>
  <c r="AZ42" i="1"/>
  <c r="J44" i="5"/>
  <c r="BD41" i="1"/>
  <c r="BE41" i="1"/>
  <c r="AL42" i="1"/>
  <c r="AM41" i="1"/>
  <c r="BF41" i="1" s="1"/>
  <c r="BF40" i="1"/>
  <c r="AO40" i="1"/>
  <c r="AN40" i="1"/>
  <c r="BG40" i="1" s="1"/>
  <c r="BH40" i="1" s="1"/>
  <c r="X45" i="1"/>
  <c r="Y44" i="1"/>
  <c r="V46" i="1"/>
  <c r="AW46" i="1"/>
  <c r="AJ46" i="1"/>
  <c r="BI16" i="5" a="1"/>
  <c r="BI16" i="5" l="1"/>
  <c r="BG15" i="5"/>
  <c r="AZ43" i="1"/>
  <c r="AY44" i="1"/>
  <c r="J45" i="5"/>
  <c r="AO41" i="1"/>
  <c r="BE42" i="1"/>
  <c r="BD42" i="1"/>
  <c r="AL43" i="1"/>
  <c r="AM42" i="1"/>
  <c r="AN41" i="1"/>
  <c r="BG41" i="1" s="1"/>
  <c r="BH41" i="1" s="1"/>
  <c r="X46" i="1"/>
  <c r="Y45" i="1"/>
  <c r="AJ47" i="1"/>
  <c r="V47" i="1"/>
  <c r="AW47" i="1"/>
  <c r="BH15" i="5" l="1"/>
  <c r="BJ15" i="5" s="1"/>
  <c r="BF16" i="5"/>
  <c r="AY45" i="1"/>
  <c r="AZ44" i="1"/>
  <c r="J46" i="5"/>
  <c r="AM43" i="1"/>
  <c r="BF43" i="1" s="1"/>
  <c r="BD43" i="1"/>
  <c r="BE43" i="1"/>
  <c r="AL44" i="1"/>
  <c r="BF42" i="1"/>
  <c r="AN42" i="1"/>
  <c r="BG42" i="1" s="1"/>
  <c r="BH42" i="1" s="1"/>
  <c r="AO42" i="1"/>
  <c r="Y46" i="1"/>
  <c r="X47" i="1"/>
  <c r="V48" i="1"/>
  <c r="AW48" i="1"/>
  <c r="AJ48" i="1"/>
  <c r="BI20" i="5" a="1"/>
  <c r="BI21" i="5" a="1"/>
  <c r="BI17" i="5" a="1"/>
  <c r="BI19" i="5" a="1"/>
  <c r="BI18" i="5" a="1"/>
  <c r="BI20" i="5" l="1"/>
  <c r="BI18" i="5"/>
  <c r="BI17" i="5"/>
  <c r="BI19" i="5"/>
  <c r="BI21" i="5"/>
  <c r="BG16" i="5"/>
  <c r="BH16" i="5" s="1"/>
  <c r="BJ16" i="5" s="1"/>
  <c r="AY46" i="1"/>
  <c r="AZ45" i="1"/>
  <c r="J47" i="5"/>
  <c r="BE44" i="1"/>
  <c r="BD44" i="1"/>
  <c r="AL45" i="1"/>
  <c r="AM44" i="1"/>
  <c r="AN43" i="1"/>
  <c r="BG43" i="1" s="1"/>
  <c r="BH43" i="1" s="1"/>
  <c r="AO43" i="1"/>
  <c r="AW49" i="1"/>
  <c r="AJ49" i="1"/>
  <c r="V49" i="1"/>
  <c r="Y47" i="1"/>
  <c r="X48" i="1"/>
  <c r="BF17" i="5" l="1"/>
  <c r="BG17" i="5" s="1"/>
  <c r="BH17" i="5" s="1"/>
  <c r="BJ17" i="5" s="1"/>
  <c r="AY47" i="1"/>
  <c r="AZ46" i="1"/>
  <c r="J48" i="5"/>
  <c r="BF44" i="1"/>
  <c r="AO44" i="1"/>
  <c r="AN44" i="1"/>
  <c r="BG44" i="1" s="1"/>
  <c r="BH44" i="1" s="1"/>
  <c r="AL46" i="1"/>
  <c r="AM45" i="1"/>
  <c r="BD45" i="1"/>
  <c r="BE45" i="1"/>
  <c r="X49" i="1"/>
  <c r="Y48" i="1"/>
  <c r="AJ50" i="1"/>
  <c r="V50" i="1"/>
  <c r="AW50" i="1"/>
  <c r="BF18" i="5" l="1"/>
  <c r="BG18" i="5" s="1"/>
  <c r="BH18" i="5" s="1"/>
  <c r="BJ18" i="5" s="1"/>
  <c r="AZ47" i="1"/>
  <c r="AY48" i="1"/>
  <c r="J49" i="5"/>
  <c r="BD46" i="1"/>
  <c r="AM46" i="1"/>
  <c r="AO46" i="1" s="1"/>
  <c r="BE46" i="1"/>
  <c r="AL47" i="1"/>
  <c r="BF45" i="1"/>
  <c r="AO45" i="1"/>
  <c r="AN45" i="1"/>
  <c r="BG45" i="1" s="1"/>
  <c r="BH45" i="1" s="1"/>
  <c r="Y49" i="1"/>
  <c r="X50" i="1"/>
  <c r="AW51" i="1"/>
  <c r="AJ51" i="1"/>
  <c r="V51" i="1"/>
  <c r="BI44" i="5" a="1"/>
  <c r="BI26" i="5" a="1"/>
  <c r="BI38" i="5" a="1"/>
  <c r="BI48" i="5" a="1"/>
  <c r="BI27" i="5" a="1"/>
  <c r="BI35" i="5" a="1"/>
  <c r="BI43" i="5" a="1"/>
  <c r="BI23" i="5" a="1"/>
  <c r="BI46" i="5" a="1"/>
  <c r="BI30" i="5" a="1"/>
  <c r="BI28" i="5" a="1"/>
  <c r="BI40" i="5" a="1"/>
  <c r="BI32" i="5" a="1"/>
  <c r="BI22" i="5" a="1"/>
  <c r="BI29" i="5" a="1"/>
  <c r="BI24" i="5" a="1"/>
  <c r="BI50" i="5" a="1"/>
  <c r="BI33" i="5" a="1"/>
  <c r="BI34" i="5" a="1"/>
  <c r="BI36" i="5" a="1"/>
  <c r="BI42" i="5" a="1"/>
  <c r="BI51" i="5" a="1"/>
  <c r="BI39" i="5" a="1"/>
  <c r="BI41" i="5" a="1"/>
  <c r="BI47" i="5" a="1"/>
  <c r="BI45" i="5" a="1"/>
  <c r="BI25" i="5" a="1"/>
  <c r="BI31" i="5" a="1"/>
  <c r="BI37" i="5" a="1"/>
  <c r="BI52" i="5" a="1"/>
  <c r="BI49" i="5" a="1"/>
  <c r="BF19" i="5" l="1"/>
  <c r="BG19" i="5" s="1"/>
  <c r="BH19" i="5" s="1"/>
  <c r="BJ19" i="5" s="1"/>
  <c r="AY49" i="1"/>
  <c r="AZ48" i="1"/>
  <c r="BI37" i="5"/>
  <c r="BI25" i="5"/>
  <c r="BI27" i="5"/>
  <c r="BI29" i="5"/>
  <c r="BI34" i="5"/>
  <c r="BI50" i="5"/>
  <c r="BI48" i="5"/>
  <c r="BI33" i="5"/>
  <c r="BI41" i="5"/>
  <c r="BI32" i="5"/>
  <c r="BI44" i="5"/>
  <c r="BI38" i="5"/>
  <c r="BI26" i="5"/>
  <c r="BI47" i="5"/>
  <c r="BI46" i="5"/>
  <c r="BI23" i="5"/>
  <c r="BI49" i="5"/>
  <c r="BI45" i="5"/>
  <c r="BI30" i="5"/>
  <c r="BI52" i="5"/>
  <c r="BI35" i="5"/>
  <c r="BI43" i="5"/>
  <c r="BI39" i="5"/>
  <c r="BI40" i="5"/>
  <c r="BI22" i="5"/>
  <c r="BI36" i="5"/>
  <c r="BI31" i="5"/>
  <c r="BI28" i="5"/>
  <c r="BI24" i="5"/>
  <c r="BI42" i="5"/>
  <c r="BI51" i="5"/>
  <c r="J50" i="5"/>
  <c r="AL48" i="1"/>
  <c r="BD47" i="1"/>
  <c r="BE47" i="1"/>
  <c r="AM47" i="1"/>
  <c r="BF46" i="1"/>
  <c r="AN46" i="1"/>
  <c r="BG46" i="1" s="1"/>
  <c r="BH46" i="1" s="1"/>
  <c r="AJ52" i="1"/>
  <c r="V52" i="1"/>
  <c r="AW52" i="1"/>
  <c r="X51" i="1"/>
  <c r="Y50" i="1"/>
  <c r="BF20" i="5" l="1"/>
  <c r="BG20" i="5" s="1"/>
  <c r="BH20" i="5" s="1"/>
  <c r="BJ20" i="5" s="1"/>
  <c r="AY50" i="1"/>
  <c r="AZ49" i="1"/>
  <c r="J51" i="5"/>
  <c r="BF47" i="1"/>
  <c r="AO47" i="1"/>
  <c r="AN47" i="1"/>
  <c r="BG47" i="1" s="1"/>
  <c r="BH47" i="1" s="1"/>
  <c r="AM48" i="1"/>
  <c r="BE48" i="1"/>
  <c r="AL49" i="1"/>
  <c r="BD48" i="1"/>
  <c r="X52" i="1"/>
  <c r="Y51" i="1"/>
  <c r="V53" i="1"/>
  <c r="AW53" i="1"/>
  <c r="AJ53" i="1"/>
  <c r="BF21" i="5" l="1"/>
  <c r="BG21" i="5" s="1"/>
  <c r="BH21" i="5" s="1"/>
  <c r="BJ21" i="5" s="1"/>
  <c r="AY51" i="1"/>
  <c r="AZ50" i="1"/>
  <c r="J52" i="5"/>
  <c r="BF48" i="1"/>
  <c r="AN48" i="1"/>
  <c r="BG48" i="1" s="1"/>
  <c r="BH48" i="1" s="1"/>
  <c r="AO48" i="1"/>
  <c r="BD49" i="1"/>
  <c r="AM49" i="1"/>
  <c r="BF49" i="1" s="1"/>
  <c r="AL50" i="1"/>
  <c r="BE49" i="1"/>
  <c r="AW54" i="1"/>
  <c r="AJ54" i="1"/>
  <c r="V54" i="1"/>
  <c r="Y52" i="1"/>
  <c r="X53" i="1"/>
  <c r="BF22" i="5" l="1"/>
  <c r="BG22" i="5" s="1"/>
  <c r="BH22" i="5" s="1"/>
  <c r="BJ22" i="5" s="1"/>
  <c r="AY52" i="1"/>
  <c r="AZ51" i="1"/>
  <c r="AN49" i="1"/>
  <c r="BG49" i="1" s="1"/>
  <c r="BH49" i="1" s="1"/>
  <c r="AL51" i="1"/>
  <c r="AM50" i="1"/>
  <c r="BF50" i="1" s="1"/>
  <c r="BE50" i="1"/>
  <c r="BD50" i="1"/>
  <c r="AO49" i="1"/>
  <c r="Y53" i="1"/>
  <c r="X54" i="1"/>
  <c r="AJ55" i="1"/>
  <c r="V55" i="1"/>
  <c r="AW55" i="1"/>
  <c r="BF23" i="5" l="1"/>
  <c r="BG23" i="5" s="1"/>
  <c r="BH23" i="5" s="1"/>
  <c r="BJ23" i="5" s="1"/>
  <c r="AY53" i="1"/>
  <c r="AZ52" i="1"/>
  <c r="AO50" i="1"/>
  <c r="AN50" i="1"/>
  <c r="BG50" i="1" s="1"/>
  <c r="BH50" i="1" s="1"/>
  <c r="BE51" i="1"/>
  <c r="BD51" i="1"/>
  <c r="AL52" i="1"/>
  <c r="AM51" i="1"/>
  <c r="V56" i="1"/>
  <c r="AW56" i="1"/>
  <c r="AJ56" i="1"/>
  <c r="Y54" i="1"/>
  <c r="X55" i="1"/>
  <c r="BF24" i="5" l="1"/>
  <c r="BG24" i="5" s="1"/>
  <c r="BF25" i="5" s="1"/>
  <c r="BG25" i="5" s="1"/>
  <c r="BF26" i="5" s="1"/>
  <c r="BG26" i="5" s="1"/>
  <c r="AZ53" i="1"/>
  <c r="AY54" i="1"/>
  <c r="BD52" i="1"/>
  <c r="AL53" i="1"/>
  <c r="AM52" i="1"/>
  <c r="BF52" i="1" s="1"/>
  <c r="BE52" i="1"/>
  <c r="BF51" i="1"/>
  <c r="AO51" i="1"/>
  <c r="AN51" i="1"/>
  <c r="BG51" i="1" s="1"/>
  <c r="BH51" i="1" s="1"/>
  <c r="Y55" i="1"/>
  <c r="Z55" i="1" s="1"/>
  <c r="AA55" i="1" s="1"/>
  <c r="X56" i="1"/>
  <c r="BH24" i="5" l="1"/>
  <c r="BJ24" i="5" s="1"/>
  <c r="BH25" i="5"/>
  <c r="BJ25" i="5" s="1"/>
  <c r="AY55" i="1"/>
  <c r="AZ54" i="1"/>
  <c r="BF27" i="5"/>
  <c r="BG27" i="5" s="1"/>
  <c r="BH26" i="5"/>
  <c r="BJ26" i="5" s="1"/>
  <c r="AL54" i="1"/>
  <c r="AM53" i="1"/>
  <c r="BD53" i="1"/>
  <c r="BE53" i="1"/>
  <c r="AO52" i="1"/>
  <c r="AN52" i="1"/>
  <c r="BG52" i="1" s="1"/>
  <c r="BH52" i="1" s="1"/>
  <c r="Y56" i="1"/>
  <c r="Z56" i="1" s="1"/>
  <c r="AA56" i="1" s="1"/>
  <c r="AY56" i="1" l="1"/>
  <c r="AZ55" i="1"/>
  <c r="BA55" i="1" s="1"/>
  <c r="BB55" i="1" s="1"/>
  <c r="BH27" i="5"/>
  <c r="BJ27" i="5" s="1"/>
  <c r="BF28" i="5"/>
  <c r="BG28" i="5" s="1"/>
  <c r="BF53" i="1"/>
  <c r="AN53" i="1"/>
  <c r="BG53" i="1" s="1"/>
  <c r="BH53" i="1" s="1"/>
  <c r="AO53" i="1"/>
  <c r="BD54" i="1"/>
  <c r="AL55" i="1"/>
  <c r="BE54" i="1"/>
  <c r="AM54" i="1"/>
  <c r="AZ56" i="1" l="1"/>
  <c r="BA56" i="1"/>
  <c r="BB56" i="1" s="1"/>
  <c r="BH28" i="5"/>
  <c r="BJ28" i="5" s="1"/>
  <c r="BF29" i="5"/>
  <c r="BG29" i="5" s="1"/>
  <c r="BF54" i="1"/>
  <c r="AO54" i="1"/>
  <c r="AN54" i="1"/>
  <c r="BG54" i="1" s="1"/>
  <c r="BH54" i="1" s="1"/>
  <c r="BE55" i="1"/>
  <c r="AL56" i="1"/>
  <c r="BD55" i="1"/>
  <c r="AM55" i="1"/>
  <c r="BF30" i="5" l="1"/>
  <c r="BG30" i="5" s="1"/>
  <c r="BH29" i="5"/>
  <c r="BJ29" i="5" s="1"/>
  <c r="BF55" i="1"/>
  <c r="AO55" i="1"/>
  <c r="AN55" i="1"/>
  <c r="BG55" i="1" s="1"/>
  <c r="BH55" i="1" s="1"/>
  <c r="AM56" i="1"/>
  <c r="BD56" i="1"/>
  <c r="BE56" i="1"/>
  <c r="BH30" i="5" l="1"/>
  <c r="BJ30" i="5" s="1"/>
  <c r="BF31" i="5"/>
  <c r="BG31" i="5" s="1"/>
  <c r="BF56" i="1"/>
  <c r="AO56" i="1"/>
  <c r="AN56" i="1"/>
  <c r="BG56" i="1" s="1"/>
  <c r="BH56" i="1" s="1"/>
  <c r="V94" i="2" a="1"/>
  <c r="S94" i="2" a="1"/>
  <c r="M94" i="2" a="1"/>
  <c r="P94" i="2" a="1"/>
  <c r="I94" i="2" a="1"/>
  <c r="S94" i="2" l="1"/>
  <c r="S89" i="2" s="1"/>
  <c r="M94" i="2"/>
  <c r="M89" i="2" s="1"/>
  <c r="I94" i="2"/>
  <c r="I89" i="2" s="1"/>
  <c r="V94" i="2"/>
  <c r="V89" i="2" s="1"/>
  <c r="P94" i="2"/>
  <c r="BH31" i="5"/>
  <c r="BJ31" i="5" s="1"/>
  <c r="BF32" i="5"/>
  <c r="BG32" i="5" s="1"/>
  <c r="M91" i="2"/>
  <c r="I91" i="2" l="1"/>
  <c r="P89" i="2"/>
  <c r="BH32" i="5"/>
  <c r="BJ32" i="5" s="1"/>
  <c r="BF33" i="5"/>
  <c r="BG33" i="5" s="1"/>
  <c r="V91" i="2"/>
  <c r="S91" i="2"/>
  <c r="P91" i="2"/>
  <c r="Q6" i="6" l="1"/>
  <c r="AM9" i="5"/>
  <c r="AV7" i="5"/>
  <c r="L40" i="5"/>
  <c r="L39" i="5"/>
  <c r="L23" i="5"/>
  <c r="L38" i="5"/>
  <c r="L46" i="5"/>
  <c r="L20" i="5"/>
  <c r="L37" i="5"/>
  <c r="L13" i="5"/>
  <c r="L29" i="5"/>
  <c r="L22" i="5"/>
  <c r="L43" i="5"/>
  <c r="L49" i="5"/>
  <c r="L15" i="5"/>
  <c r="L45" i="5"/>
  <c r="L8" i="5"/>
  <c r="L24" i="5"/>
  <c r="L33" i="5"/>
  <c r="L52" i="5"/>
  <c r="L10" i="5"/>
  <c r="L9" i="5"/>
  <c r="L50" i="5"/>
  <c r="L6" i="5"/>
  <c r="L27" i="5"/>
  <c r="L16" i="5"/>
  <c r="L21" i="5"/>
  <c r="L17" i="5"/>
  <c r="L12" i="5"/>
  <c r="L28" i="5"/>
  <c r="L25" i="5"/>
  <c r="L26" i="5"/>
  <c r="L7" i="5"/>
  <c r="L48" i="5"/>
  <c r="L11" i="5"/>
  <c r="L51" i="5"/>
  <c r="L14" i="5"/>
  <c r="L32" i="5"/>
  <c r="L4" i="5"/>
  <c r="L5" i="5"/>
  <c r="P6" i="5" s="1" a="1"/>
  <c r="L18" i="5"/>
  <c r="L30" i="5"/>
  <c r="L42" i="5"/>
  <c r="L36" i="5"/>
  <c r="L31" i="5"/>
  <c r="L44" i="5"/>
  <c r="L19" i="5"/>
  <c r="L35" i="5"/>
  <c r="L41" i="5"/>
  <c r="L47" i="5"/>
  <c r="L34" i="5"/>
  <c r="AV22" i="5"/>
  <c r="AV38" i="5"/>
  <c r="AV6" i="5"/>
  <c r="AV49" i="5"/>
  <c r="AD5" i="5"/>
  <c r="AH6" i="5" s="1" a="1"/>
  <c r="AD40" i="5"/>
  <c r="AD7" i="5"/>
  <c r="AD49" i="5"/>
  <c r="AD51" i="5"/>
  <c r="AD48" i="5"/>
  <c r="AD11" i="5"/>
  <c r="AD52" i="5"/>
  <c r="AD9" i="5"/>
  <c r="AD34" i="5"/>
  <c r="AD44" i="5"/>
  <c r="AD47" i="5"/>
  <c r="AD35" i="5"/>
  <c r="AD18" i="5"/>
  <c r="AD19" i="5"/>
  <c r="AD24" i="5"/>
  <c r="AD30" i="5"/>
  <c r="AD4" i="5"/>
  <c r="AD10" i="5"/>
  <c r="AD38" i="5"/>
  <c r="AD22" i="5"/>
  <c r="AD50" i="5"/>
  <c r="AD29" i="5"/>
  <c r="AD46" i="5"/>
  <c r="AD21" i="5"/>
  <c r="AD31" i="5"/>
  <c r="AD23" i="5"/>
  <c r="AD37" i="5"/>
  <c r="AD17" i="5"/>
  <c r="AD39" i="5"/>
  <c r="AD33" i="5"/>
  <c r="AD20" i="5"/>
  <c r="AD32" i="5"/>
  <c r="AD27" i="5"/>
  <c r="AD12" i="5"/>
  <c r="AD16" i="5"/>
  <c r="AD43" i="5"/>
  <c r="AD6" i="5"/>
  <c r="AD36" i="5"/>
  <c r="AD15" i="5"/>
  <c r="AD42" i="5"/>
  <c r="AD26" i="5"/>
  <c r="AD28" i="5"/>
  <c r="AD41" i="5"/>
  <c r="AD8" i="5"/>
  <c r="AD45" i="5"/>
  <c r="AD13" i="5"/>
  <c r="AD25" i="5"/>
  <c r="AD14" i="5"/>
  <c r="AV36" i="5"/>
  <c r="AV16" i="5"/>
  <c r="AM13" i="5"/>
  <c r="AM11" i="5"/>
  <c r="AM19" i="5"/>
  <c r="AM34" i="5"/>
  <c r="AM44" i="5"/>
  <c r="AM48" i="5"/>
  <c r="AM7" i="5"/>
  <c r="AM47" i="5"/>
  <c r="AM26" i="5"/>
  <c r="AM17" i="5"/>
  <c r="AM35" i="5"/>
  <c r="AM6" i="5"/>
  <c r="AV24" i="5"/>
  <c r="AV34" i="5"/>
  <c r="AV18" i="5"/>
  <c r="AV44" i="5"/>
  <c r="AV50" i="5"/>
  <c r="AV45" i="5"/>
  <c r="AV29" i="5"/>
  <c r="AV13" i="5"/>
  <c r="AV40" i="5"/>
  <c r="AV47" i="5"/>
  <c r="AV31" i="5"/>
  <c r="AV15" i="5"/>
  <c r="AM28" i="5"/>
  <c r="AM25" i="5"/>
  <c r="AM39" i="5"/>
  <c r="AM29" i="5"/>
  <c r="AM24" i="5"/>
  <c r="AM33" i="5"/>
  <c r="AM4" i="5"/>
  <c r="AQ5" i="5" s="1" a="1"/>
  <c r="AQ5" i="5" s="1"/>
  <c r="AM50" i="5"/>
  <c r="AM36" i="5"/>
  <c r="AM32" i="5"/>
  <c r="AM22" i="5"/>
  <c r="AM27" i="5"/>
  <c r="AM49" i="5"/>
  <c r="AM30" i="5"/>
  <c r="AM20" i="5"/>
  <c r="AM23" i="5"/>
  <c r="AM40" i="5"/>
  <c r="AM41" i="5"/>
  <c r="AM42" i="5"/>
  <c r="AM5" i="5"/>
  <c r="AV8" i="5"/>
  <c r="AV30" i="5"/>
  <c r="AV14" i="5"/>
  <c r="AV32" i="5"/>
  <c r="AV42" i="5"/>
  <c r="AV41" i="5"/>
  <c r="AV25" i="5"/>
  <c r="AV9" i="5"/>
  <c r="AV28" i="5"/>
  <c r="AV43" i="5"/>
  <c r="AV27" i="5"/>
  <c r="AV11" i="5"/>
  <c r="AM15" i="5"/>
  <c r="AM31" i="5"/>
  <c r="AM37" i="5"/>
  <c r="AM46" i="5"/>
  <c r="AM14" i="5"/>
  <c r="AV33" i="5"/>
  <c r="AV17" i="5"/>
  <c r="AV52" i="5"/>
  <c r="AV51" i="5"/>
  <c r="AV35" i="5"/>
  <c r="AV19" i="5"/>
  <c r="AM18" i="5"/>
  <c r="AM45" i="5"/>
  <c r="AM16" i="5"/>
  <c r="AM21" i="5"/>
  <c r="AM52" i="5"/>
  <c r="AM38" i="5"/>
  <c r="AM12" i="5"/>
  <c r="AM43" i="5"/>
  <c r="AM51" i="5"/>
  <c r="AM10" i="5"/>
  <c r="AM8" i="5"/>
  <c r="AV48" i="5"/>
  <c r="AV46" i="5"/>
  <c r="AV26" i="5"/>
  <c r="AV10" i="5"/>
  <c r="AV20" i="5"/>
  <c r="AV4" i="5"/>
  <c r="AY4" i="5" s="1"/>
  <c r="BA4" i="5" s="1"/>
  <c r="AV37" i="5"/>
  <c r="AV21" i="5"/>
  <c r="AV5" i="5"/>
  <c r="AV12" i="5"/>
  <c r="AV39" i="5"/>
  <c r="AV23" i="5"/>
  <c r="BH33" i="5"/>
  <c r="BJ33" i="5" s="1"/>
  <c r="BF34" i="5"/>
  <c r="BG34" i="5" s="1"/>
  <c r="U40" i="5"/>
  <c r="U7" i="5"/>
  <c r="U14" i="5"/>
  <c r="U31" i="5"/>
  <c r="U26" i="5"/>
  <c r="U19" i="5"/>
  <c r="U12" i="5"/>
  <c r="U23" i="5"/>
  <c r="U45" i="5"/>
  <c r="U36" i="5"/>
  <c r="U22" i="5"/>
  <c r="U9" i="5"/>
  <c r="U8" i="5"/>
  <c r="U13" i="5"/>
  <c r="U50" i="5"/>
  <c r="U34" i="5"/>
  <c r="U10" i="5"/>
  <c r="U35" i="5"/>
  <c r="U17" i="5"/>
  <c r="U47" i="5"/>
  <c r="U37" i="5"/>
  <c r="U25" i="5"/>
  <c r="U21" i="5"/>
  <c r="U33" i="5"/>
  <c r="U6" i="5"/>
  <c r="U48" i="5"/>
  <c r="U18" i="5"/>
  <c r="U49" i="5"/>
  <c r="U52" i="5"/>
  <c r="U4" i="5"/>
  <c r="U15" i="5"/>
  <c r="U29" i="5"/>
  <c r="U42" i="5"/>
  <c r="U46" i="5"/>
  <c r="U5" i="5"/>
  <c r="Y6" i="5" s="1" a="1"/>
  <c r="U20" i="5"/>
  <c r="U38" i="5"/>
  <c r="U32" i="5"/>
  <c r="U11" i="5"/>
  <c r="U24" i="5"/>
  <c r="U51" i="5"/>
  <c r="U44" i="5"/>
  <c r="U16" i="5"/>
  <c r="U41" i="5"/>
  <c r="U27" i="5"/>
  <c r="U28" i="5"/>
  <c r="U43" i="5"/>
  <c r="U39" i="5"/>
  <c r="U30" i="5"/>
  <c r="P4" i="5" a="1"/>
  <c r="AQ6" i="5" a="1"/>
  <c r="AZ6" i="5" a="1"/>
  <c r="AH4" i="5" a="1"/>
  <c r="Y4" i="5" a="1"/>
  <c r="P6" i="5" l="1"/>
  <c r="Y6" i="5"/>
  <c r="AH6" i="5"/>
  <c r="P4" i="5"/>
  <c r="Y4" i="5"/>
  <c r="AH4" i="5"/>
  <c r="P5" i="5" a="1"/>
  <c r="P5" i="5" s="1"/>
  <c r="W5" i="5"/>
  <c r="V6" i="5" s="1"/>
  <c r="Y5" i="5" a="1"/>
  <c r="Y5" i="5" s="1"/>
  <c r="AF5" i="5"/>
  <c r="AG5" i="5" s="1"/>
  <c r="AH5" i="5" a="1"/>
  <c r="AH5" i="5" s="1"/>
  <c r="AZ5" i="5" a="1"/>
  <c r="AZ5" i="5" s="1"/>
  <c r="O4" i="5"/>
  <c r="N5" i="5"/>
  <c r="O5" i="5" s="1"/>
  <c r="AX5" i="5"/>
  <c r="AW6" i="5" s="1"/>
  <c r="AO5" i="5"/>
  <c r="AP5" i="5" s="1"/>
  <c r="AR5" i="5" s="1"/>
  <c r="AP4" i="5"/>
  <c r="AR4" i="5" s="1"/>
  <c r="AG4" i="5"/>
  <c r="BH34" i="5"/>
  <c r="BJ34" i="5" s="1"/>
  <c r="BF35" i="5"/>
  <c r="BG35" i="5" s="1"/>
  <c r="AQ6" i="5"/>
  <c r="AZ6" i="5"/>
  <c r="X4" i="5"/>
  <c r="Y7" i="5" a="1"/>
  <c r="AZ7" i="5" a="1"/>
  <c r="Q4" i="5" l="1"/>
  <c r="Y7" i="5"/>
  <c r="W6" i="5"/>
  <c r="X6" i="5" s="1"/>
  <c r="Z6" i="5" s="1"/>
  <c r="AI4" i="5"/>
  <c r="Q5" i="5"/>
  <c r="Z4" i="5"/>
  <c r="AE6" i="5"/>
  <c r="X5" i="5"/>
  <c r="Z5" i="5" s="1"/>
  <c r="M6" i="5"/>
  <c r="AZ7" i="5"/>
  <c r="AX6" i="5"/>
  <c r="AW7" i="5" s="1"/>
  <c r="AI5" i="5"/>
  <c r="AN6" i="5"/>
  <c r="AY5" i="5"/>
  <c r="BA5" i="5" s="1"/>
  <c r="BF36" i="5"/>
  <c r="BG36" i="5" s="1"/>
  <c r="BH35" i="5"/>
  <c r="BJ35" i="5" s="1"/>
  <c r="P7" i="5" a="1"/>
  <c r="P8" i="5" a="1"/>
  <c r="AH7" i="5" a="1"/>
  <c r="AQ7" i="5" a="1"/>
  <c r="AZ8" i="5" a="1"/>
  <c r="V7" i="5" l="1"/>
  <c r="AH7" i="5"/>
  <c r="AF6" i="5"/>
  <c r="AG6" i="5" s="1"/>
  <c r="AI6" i="5" s="1"/>
  <c r="P8" i="5"/>
  <c r="P7" i="5"/>
  <c r="N6" i="5"/>
  <c r="O6" i="5" s="1"/>
  <c r="Q6" i="5" s="1"/>
  <c r="AQ7" i="5"/>
  <c r="AO6" i="5"/>
  <c r="AP6" i="5" s="1"/>
  <c r="AR6" i="5" s="1"/>
  <c r="AZ8" i="5"/>
  <c r="AX7" i="5"/>
  <c r="AW8" i="5" s="1"/>
  <c r="AY6" i="5"/>
  <c r="BA6" i="5" s="1"/>
  <c r="BF37" i="5"/>
  <c r="BG37" i="5" s="1"/>
  <c r="BH36" i="5"/>
  <c r="BJ36" i="5" s="1"/>
  <c r="Y8" i="5" a="1"/>
  <c r="AZ9" i="5" a="1"/>
  <c r="Y8" i="5" l="1"/>
  <c r="W7" i="5"/>
  <c r="X7" i="5" s="1"/>
  <c r="Z7" i="5" s="1"/>
  <c r="AE7" i="5"/>
  <c r="M7" i="5"/>
  <c r="AN7" i="5"/>
  <c r="AZ9" i="5"/>
  <c r="AX8" i="5"/>
  <c r="AW9" i="5" s="1"/>
  <c r="AY7" i="5"/>
  <c r="BA7" i="5" s="1"/>
  <c r="BF38" i="5"/>
  <c r="BG38" i="5" s="1"/>
  <c r="BH37" i="5"/>
  <c r="BJ37" i="5" s="1"/>
  <c r="AH8" i="5" a="1"/>
  <c r="AQ8" i="5" a="1"/>
  <c r="AZ10" i="5" a="1"/>
  <c r="V8" i="5" l="1"/>
  <c r="AH8" i="5"/>
  <c r="AF7" i="5"/>
  <c r="AG7" i="5" s="1"/>
  <c r="AI7" i="5" s="1"/>
  <c r="N7" i="5"/>
  <c r="O7" i="5" s="1"/>
  <c r="Q7" i="5" s="1"/>
  <c r="AQ8" i="5"/>
  <c r="AO7" i="5"/>
  <c r="AP7" i="5" s="1"/>
  <c r="AR7" i="5" s="1"/>
  <c r="AZ10" i="5"/>
  <c r="AX9" i="5"/>
  <c r="AW10" i="5" s="1"/>
  <c r="AY8" i="5"/>
  <c r="BA8" i="5" s="1"/>
  <c r="BF39" i="5"/>
  <c r="BG39" i="5" s="1"/>
  <c r="BH38" i="5"/>
  <c r="BJ38" i="5" s="1"/>
  <c r="Y9" i="5" a="1"/>
  <c r="AZ11" i="5" a="1"/>
  <c r="Y9" i="5" l="1"/>
  <c r="W8" i="5"/>
  <c r="X8" i="5" s="1"/>
  <c r="Z8" i="5" s="1"/>
  <c r="AE8" i="5"/>
  <c r="M8" i="5"/>
  <c r="AN8" i="5"/>
  <c r="AY9" i="5"/>
  <c r="BA9" i="5" s="1"/>
  <c r="AZ11" i="5"/>
  <c r="AX10" i="5"/>
  <c r="AY10" i="5" s="1"/>
  <c r="BA10" i="5" s="1"/>
  <c r="BF40" i="5"/>
  <c r="BG40" i="5" s="1"/>
  <c r="BH39" i="5"/>
  <c r="BJ39" i="5" s="1"/>
  <c r="P9" i="5" a="1"/>
  <c r="AH9" i="5" a="1"/>
  <c r="AQ9" i="5" a="1"/>
  <c r="V9" i="5" l="1"/>
  <c r="AH9" i="5"/>
  <c r="AF8" i="5"/>
  <c r="AG8" i="5" s="1"/>
  <c r="AI8" i="5" s="1"/>
  <c r="P9" i="5"/>
  <c r="N8" i="5"/>
  <c r="O8" i="5" s="1"/>
  <c r="Q8" i="5" s="1"/>
  <c r="AQ9" i="5"/>
  <c r="AO8" i="5"/>
  <c r="AP8" i="5" s="1"/>
  <c r="AR8" i="5" s="1"/>
  <c r="AW11" i="5"/>
  <c r="BF41" i="5"/>
  <c r="BG41" i="5" s="1"/>
  <c r="BH40" i="5"/>
  <c r="BJ40" i="5" s="1"/>
  <c r="Y10" i="5" a="1"/>
  <c r="AZ12" i="5" a="1"/>
  <c r="Y10" i="5" l="1"/>
  <c r="W9" i="5"/>
  <c r="X9" i="5" s="1"/>
  <c r="Z9" i="5" s="1"/>
  <c r="AE9" i="5"/>
  <c r="M9" i="5"/>
  <c r="AN9" i="5"/>
  <c r="AZ12" i="5"/>
  <c r="AX11" i="5"/>
  <c r="AY11" i="5" s="1"/>
  <c r="BA11" i="5" s="1"/>
  <c r="BH41" i="5"/>
  <c r="BJ41" i="5" s="1"/>
  <c r="BF42" i="5"/>
  <c r="BG42" i="5" s="1"/>
  <c r="P10" i="5" a="1"/>
  <c r="AH10" i="5" a="1"/>
  <c r="AQ10" i="5" a="1"/>
  <c r="P10" i="5" l="1"/>
  <c r="N9" i="5"/>
  <c r="O9" i="5" s="1"/>
  <c r="Q9" i="5" s="1"/>
  <c r="AH10" i="5"/>
  <c r="AF9" i="5"/>
  <c r="AG9" i="5" s="1"/>
  <c r="AI9" i="5" s="1"/>
  <c r="V10" i="5"/>
  <c r="AQ10" i="5"/>
  <c r="AO9" i="5"/>
  <c r="AP9" i="5" s="1"/>
  <c r="AR9" i="5" s="1"/>
  <c r="AW12" i="5"/>
  <c r="AX12" i="5" s="1"/>
  <c r="AW13" i="5" s="1"/>
  <c r="BF43" i="5"/>
  <c r="BG43" i="5" s="1"/>
  <c r="BH42" i="5"/>
  <c r="BJ42" i="5" s="1"/>
  <c r="Y11" i="5" a="1"/>
  <c r="AZ13" i="5" a="1"/>
  <c r="AZ14" i="5" a="1"/>
  <c r="M10" i="5" l="1"/>
  <c r="AE10" i="5"/>
  <c r="Y11" i="5"/>
  <c r="W10" i="5"/>
  <c r="X10" i="5" s="1"/>
  <c r="Z10" i="5" s="1"/>
  <c r="AN10" i="5"/>
  <c r="AO10" i="5" s="1"/>
  <c r="AP10" i="5" s="1"/>
  <c r="AR10" i="5" s="1"/>
  <c r="AZ13" i="5"/>
  <c r="AZ14" i="5"/>
  <c r="AX13" i="5"/>
  <c r="AY13" i="5" s="1"/>
  <c r="AY12" i="5"/>
  <c r="BA12" i="5" s="1"/>
  <c r="BH43" i="5"/>
  <c r="BJ43" i="5" s="1"/>
  <c r="BF44" i="5"/>
  <c r="BG44" i="5" s="1"/>
  <c r="P11" i="5" a="1"/>
  <c r="AQ11" i="5" a="1"/>
  <c r="AH11" i="5" a="1"/>
  <c r="P11" i="5" l="1"/>
  <c r="N10" i="5"/>
  <c r="O10" i="5" s="1"/>
  <c r="Q10" i="5" s="1"/>
  <c r="AH11" i="5"/>
  <c r="AF10" i="5"/>
  <c r="AG10" i="5" s="1"/>
  <c r="AI10" i="5" s="1"/>
  <c r="V11" i="5"/>
  <c r="BA13" i="5"/>
  <c r="AQ11" i="5"/>
  <c r="AW14" i="5"/>
  <c r="BF45" i="5"/>
  <c r="BG45" i="5" s="1"/>
  <c r="BH44" i="5"/>
  <c r="BJ44" i="5" s="1"/>
  <c r="AN11" i="5"/>
  <c r="P12" i="5" a="1"/>
  <c r="Y12" i="5" a="1"/>
  <c r="AZ15" i="5" a="1"/>
  <c r="AQ12" i="5" a="1"/>
  <c r="M11" i="5" l="1"/>
  <c r="N11" i="5" s="1"/>
  <c r="M12" i="5" s="1"/>
  <c r="P12" i="5"/>
  <c r="AE11" i="5"/>
  <c r="Y12" i="5"/>
  <c r="W11" i="5"/>
  <c r="X11" i="5" s="1"/>
  <c r="Z11" i="5" s="1"/>
  <c r="AZ15" i="5"/>
  <c r="AX14" i="5"/>
  <c r="AY14" i="5" s="1"/>
  <c r="BA14" i="5" s="1"/>
  <c r="BH45" i="5"/>
  <c r="BJ45" i="5" s="1"/>
  <c r="BF46" i="5"/>
  <c r="BG46" i="5" s="1"/>
  <c r="AQ12" i="5"/>
  <c r="AO11" i="5"/>
  <c r="AP11" i="5" s="1"/>
  <c r="AR11" i="5" s="1"/>
  <c r="P13" i="5" a="1"/>
  <c r="AH12" i="5" a="1"/>
  <c r="P13" i="5" l="1"/>
  <c r="AH12" i="5"/>
  <c r="AF11" i="5"/>
  <c r="AG11" i="5" s="1"/>
  <c r="AI11" i="5" s="1"/>
  <c r="V12" i="5"/>
  <c r="N12" i="5"/>
  <c r="O12" i="5" s="1"/>
  <c r="Q12" i="5" s="1"/>
  <c r="O11" i="5"/>
  <c r="Q11" i="5" s="1"/>
  <c r="AW15" i="5"/>
  <c r="BF47" i="5"/>
  <c r="BG47" i="5" s="1"/>
  <c r="BH46" i="5"/>
  <c r="BJ46" i="5" s="1"/>
  <c r="AN12" i="5"/>
  <c r="Y13" i="5" a="1"/>
  <c r="AZ16" i="5" a="1"/>
  <c r="AQ13" i="5" a="1"/>
  <c r="AE12" i="5" l="1"/>
  <c r="Y13" i="5"/>
  <c r="W12" i="5"/>
  <c r="X12" i="5" s="1"/>
  <c r="Z12" i="5" s="1"/>
  <c r="M13" i="5"/>
  <c r="AZ16" i="5"/>
  <c r="AX15" i="5"/>
  <c r="AY15" i="5" s="1"/>
  <c r="BA15" i="5" s="1"/>
  <c r="AQ13" i="5"/>
  <c r="AO12" i="5"/>
  <c r="AN13" i="5" s="1"/>
  <c r="BF48" i="5"/>
  <c r="BG48" i="5" s="1"/>
  <c r="BH47" i="5"/>
  <c r="BJ47" i="5" s="1"/>
  <c r="P14" i="5" a="1"/>
  <c r="AQ14" i="5" a="1"/>
  <c r="AH13" i="5" a="1"/>
  <c r="AH13" i="5" l="1"/>
  <c r="AF12" i="5"/>
  <c r="AG12" i="5" s="1"/>
  <c r="AI12" i="5" s="1"/>
  <c r="V13" i="5"/>
  <c r="P14" i="5"/>
  <c r="N13" i="5"/>
  <c r="M14" i="5" s="1"/>
  <c r="AW16" i="5"/>
  <c r="AQ14" i="5"/>
  <c r="AO13" i="5"/>
  <c r="AP13" i="5" s="1"/>
  <c r="AR13" i="5" s="1"/>
  <c r="AP12" i="5"/>
  <c r="AR12" i="5" s="1"/>
  <c r="BF49" i="5"/>
  <c r="BG49" i="5" s="1"/>
  <c r="BH48" i="5"/>
  <c r="BJ48" i="5" s="1"/>
  <c r="P15" i="5" a="1"/>
  <c r="Y14" i="5" a="1"/>
  <c r="AZ17" i="5" a="1"/>
  <c r="Y14" i="5" l="1"/>
  <c r="W13" i="5"/>
  <c r="V14" i="5" s="1"/>
  <c r="AE13" i="5"/>
  <c r="P15" i="5"/>
  <c r="N14" i="5"/>
  <c r="O14" i="5" s="1"/>
  <c r="Q14" i="5" s="1"/>
  <c r="O13" i="5"/>
  <c r="Q13" i="5" s="1"/>
  <c r="AZ17" i="5"/>
  <c r="AX16" i="5"/>
  <c r="AY16" i="5" s="1"/>
  <c r="BA16" i="5" s="1"/>
  <c r="AN14" i="5"/>
  <c r="BF50" i="5"/>
  <c r="BG50" i="5" s="1"/>
  <c r="BH49" i="5"/>
  <c r="BJ49" i="5" s="1"/>
  <c r="Y15" i="5" a="1"/>
  <c r="AQ15" i="5" a="1"/>
  <c r="AH14" i="5" a="1"/>
  <c r="AH14" i="5" l="1"/>
  <c r="AF13" i="5"/>
  <c r="AG13" i="5" s="1"/>
  <c r="AI13" i="5" s="1"/>
  <c r="Y15" i="5"/>
  <c r="W14" i="5"/>
  <c r="X14" i="5" s="1"/>
  <c r="Z14" i="5" s="1"/>
  <c r="X13" i="5"/>
  <c r="Z13" i="5" s="1"/>
  <c r="M15" i="5"/>
  <c r="AW17" i="5"/>
  <c r="AQ15" i="5"/>
  <c r="AO14" i="5"/>
  <c r="AP14" i="5" s="1"/>
  <c r="AR14" i="5" s="1"/>
  <c r="BH50" i="5"/>
  <c r="BJ50" i="5" s="1"/>
  <c r="BF51" i="5"/>
  <c r="BG51" i="5" s="1"/>
  <c r="P16" i="5" a="1"/>
  <c r="AZ18" i="5" a="1"/>
  <c r="AE14" i="5" l="1"/>
  <c r="V15" i="5"/>
  <c r="P16" i="5"/>
  <c r="N15" i="5"/>
  <c r="O15" i="5" s="1"/>
  <c r="Q15" i="5" s="1"/>
  <c r="AZ18" i="5"/>
  <c r="AX17" i="5"/>
  <c r="AW18" i="5" s="1"/>
  <c r="AN15" i="5"/>
  <c r="BH51" i="5"/>
  <c r="BJ51" i="5" s="1"/>
  <c r="BF52" i="5"/>
  <c r="BG52" i="5" s="1"/>
  <c r="BH52" i="5" s="1"/>
  <c r="BJ52" i="5" s="1"/>
  <c r="AZ19" i="5" a="1"/>
  <c r="AQ16" i="5" a="1"/>
  <c r="Y16" i="5" a="1"/>
  <c r="AH15" i="5" a="1"/>
  <c r="AH15" i="5" l="1"/>
  <c r="AF14" i="5"/>
  <c r="AG14" i="5" s="1"/>
  <c r="AI14" i="5" s="1"/>
  <c r="Y16" i="5"/>
  <c r="W15" i="5"/>
  <c r="X15" i="5" s="1"/>
  <c r="Z15" i="5" s="1"/>
  <c r="M16" i="5"/>
  <c r="AZ19" i="5"/>
  <c r="AX18" i="5"/>
  <c r="AY18" i="5" s="1"/>
  <c r="BA18" i="5" s="1"/>
  <c r="AY17" i="5"/>
  <c r="BA17" i="5" s="1"/>
  <c r="P70" i="2" a="1"/>
  <c r="P70" i="2" s="1"/>
  <c r="AQ16" i="5"/>
  <c r="AO15" i="5"/>
  <c r="AP15" i="5" s="1"/>
  <c r="AR15" i="5" s="1"/>
  <c r="P17" i="5" a="1"/>
  <c r="AE15" i="5" l="1"/>
  <c r="V16" i="5"/>
  <c r="P17" i="5"/>
  <c r="N16" i="5"/>
  <c r="M17" i="5" s="1"/>
  <c r="AW19" i="5"/>
  <c r="Q7" i="6"/>
  <c r="AN16" i="5"/>
  <c r="P18" i="5" a="1"/>
  <c r="AZ20" i="5" a="1"/>
  <c r="AQ17" i="5" a="1"/>
  <c r="Y17" i="5" a="1"/>
  <c r="AH16" i="5" a="1"/>
  <c r="AH16" i="5" l="1"/>
  <c r="AF15" i="5"/>
  <c r="AE16" i="5" s="1"/>
  <c r="Y17" i="5"/>
  <c r="W16" i="5"/>
  <c r="X16" i="5" s="1"/>
  <c r="Z16" i="5" s="1"/>
  <c r="P18" i="5"/>
  <c r="O16" i="5"/>
  <c r="Q16" i="5" s="1"/>
  <c r="N17" i="5"/>
  <c r="O17" i="5" s="1"/>
  <c r="Q17" i="5" s="1"/>
  <c r="AZ20" i="5"/>
  <c r="AX19" i="5"/>
  <c r="AW20" i="5" s="1"/>
  <c r="AQ17" i="5"/>
  <c r="AO16" i="5"/>
  <c r="AP16" i="5" s="1"/>
  <c r="AR16" i="5" s="1"/>
  <c r="AZ21" i="5" a="1"/>
  <c r="AH17" i="5" a="1"/>
  <c r="AH17" i="5" l="1"/>
  <c r="AF16" i="5"/>
  <c r="AG16" i="5" s="1"/>
  <c r="AI16" i="5" s="1"/>
  <c r="AG15" i="5"/>
  <c r="AI15" i="5" s="1"/>
  <c r="V17" i="5"/>
  <c r="M18" i="5"/>
  <c r="AZ21" i="5"/>
  <c r="AX20" i="5"/>
  <c r="AW21" i="5" s="1"/>
  <c r="AY19" i="5"/>
  <c r="BA19" i="5" s="1"/>
  <c r="AN17" i="5"/>
  <c r="P19" i="5" a="1"/>
  <c r="AZ22" i="5" a="1"/>
  <c r="AQ18" i="5" a="1"/>
  <c r="Y18" i="5" a="1"/>
  <c r="AE17" i="5" l="1"/>
  <c r="Y18" i="5"/>
  <c r="W17" i="5"/>
  <c r="X17" i="5" s="1"/>
  <c r="Z17" i="5" s="1"/>
  <c r="AZ22" i="5"/>
  <c r="AX21" i="5"/>
  <c r="AW22" i="5" s="1"/>
  <c r="P19" i="5"/>
  <c r="N18" i="5"/>
  <c r="O18" i="5" s="1"/>
  <c r="Q18" i="5" s="1"/>
  <c r="AY20" i="5"/>
  <c r="BA20" i="5" s="1"/>
  <c r="AQ18" i="5"/>
  <c r="AO17" i="5"/>
  <c r="AN18" i="5" s="1"/>
  <c r="AZ23" i="5" a="1"/>
  <c r="AQ19" i="5" a="1"/>
  <c r="AH18" i="5" a="1"/>
  <c r="AH18" i="5" l="1"/>
  <c r="AF17" i="5"/>
  <c r="AG17" i="5" s="1"/>
  <c r="AI17" i="5" s="1"/>
  <c r="AZ23" i="5"/>
  <c r="AX22" i="5"/>
  <c r="AY22" i="5" s="1"/>
  <c r="BA22" i="5" s="1"/>
  <c r="V18" i="5"/>
  <c r="AY21" i="5"/>
  <c r="BA21" i="5" s="1"/>
  <c r="M19" i="5"/>
  <c r="AQ19" i="5"/>
  <c r="AO18" i="5"/>
  <c r="AP18" i="5" s="1"/>
  <c r="AR18" i="5" s="1"/>
  <c r="AP17" i="5"/>
  <c r="AR17" i="5" s="1"/>
  <c r="P20" i="5" a="1"/>
  <c r="Y19" i="5" a="1"/>
  <c r="AE18" i="5" l="1"/>
  <c r="Y19" i="5"/>
  <c r="W18" i="5"/>
  <c r="V19" i="5" s="1"/>
  <c r="AW23" i="5"/>
  <c r="P20" i="5"/>
  <c r="N19" i="5"/>
  <c r="O19" i="5" s="1"/>
  <c r="Q19" i="5" s="1"/>
  <c r="AN19" i="5"/>
  <c r="AZ24" i="5" a="1"/>
  <c r="AQ20" i="5" a="1"/>
  <c r="Y20" i="5" a="1"/>
  <c r="AH19" i="5" a="1"/>
  <c r="AH19" i="5" l="1"/>
  <c r="AF18" i="5"/>
  <c r="AE19" i="5" s="1"/>
  <c r="Y20" i="5"/>
  <c r="W19" i="5"/>
  <c r="X19" i="5" s="1"/>
  <c r="Z19" i="5" s="1"/>
  <c r="X18" i="5"/>
  <c r="Z18" i="5" s="1"/>
  <c r="AZ24" i="5"/>
  <c r="AX23" i="5"/>
  <c r="AW24" i="5" s="1"/>
  <c r="M20" i="5"/>
  <c r="AQ20" i="5"/>
  <c r="AO19" i="5"/>
  <c r="AP19" i="5" s="1"/>
  <c r="AR19" i="5" s="1"/>
  <c r="AH20" i="5" a="1"/>
  <c r="AZ25" i="5" a="1"/>
  <c r="AZ38" i="5" a="1"/>
  <c r="AZ27" i="5" a="1"/>
  <c r="AZ45" i="5" a="1"/>
  <c r="AZ35" i="5" a="1"/>
  <c r="AZ29" i="5" a="1"/>
  <c r="AZ33" i="5" a="1"/>
  <c r="AZ47" i="5" a="1"/>
  <c r="AZ31" i="5" a="1"/>
  <c r="AZ30" i="5" a="1"/>
  <c r="AZ48" i="5" a="1"/>
  <c r="AZ49" i="5" a="1"/>
  <c r="AZ43" i="5" a="1"/>
  <c r="AZ36" i="5" a="1"/>
  <c r="AZ46" i="5" a="1"/>
  <c r="AZ32" i="5" a="1"/>
  <c r="AZ34" i="5" a="1"/>
  <c r="AZ44" i="5" a="1"/>
  <c r="AZ26" i="5" a="1"/>
  <c r="AZ52" i="5" a="1"/>
  <c r="AZ28" i="5" a="1"/>
  <c r="AZ41" i="5" a="1"/>
  <c r="AZ42" i="5" a="1"/>
  <c r="AZ40" i="5" a="1"/>
  <c r="AZ39" i="5" a="1"/>
  <c r="AZ37" i="5" a="1"/>
  <c r="AZ50" i="5" a="1"/>
  <c r="AZ51" i="5" a="1"/>
  <c r="P21" i="5" a="1"/>
  <c r="AH20" i="5" l="1"/>
  <c r="AF19" i="5"/>
  <c r="AG19" i="5" s="1"/>
  <c r="AI19" i="5" s="1"/>
  <c r="AZ25" i="5"/>
  <c r="AX24" i="5"/>
  <c r="AW25" i="5" s="1"/>
  <c r="AX25" i="5" s="1"/>
  <c r="AW26" i="5" s="1"/>
  <c r="AX26" i="5" s="1"/>
  <c r="AY26" i="5" s="1"/>
  <c r="AG18" i="5"/>
  <c r="AI18" i="5" s="1"/>
  <c r="V20" i="5"/>
  <c r="AY23" i="5"/>
  <c r="BA23" i="5" s="1"/>
  <c r="AZ27" i="5"/>
  <c r="AZ26" i="5"/>
  <c r="P21" i="5"/>
  <c r="N20" i="5"/>
  <c r="O20" i="5" s="1"/>
  <c r="Q20" i="5" s="1"/>
  <c r="AZ35" i="5"/>
  <c r="AZ42" i="5"/>
  <c r="AZ36" i="5"/>
  <c r="AZ31" i="5"/>
  <c r="AZ44" i="5"/>
  <c r="AZ32" i="5"/>
  <c r="AZ34" i="5"/>
  <c r="AZ43" i="5"/>
  <c r="AZ30" i="5"/>
  <c r="AZ39" i="5"/>
  <c r="AZ52" i="5"/>
  <c r="AZ37" i="5"/>
  <c r="AZ40" i="5"/>
  <c r="AZ46" i="5"/>
  <c r="AZ45" i="5"/>
  <c r="AZ28" i="5"/>
  <c r="AZ29" i="5"/>
  <c r="AZ38" i="5"/>
  <c r="AZ47" i="5"/>
  <c r="AZ49" i="5"/>
  <c r="AZ33" i="5"/>
  <c r="AZ51" i="5"/>
  <c r="AZ50" i="5"/>
  <c r="AZ41" i="5"/>
  <c r="AZ48" i="5"/>
  <c r="AN20" i="5"/>
  <c r="AQ21" i="5" a="1"/>
  <c r="Y21" i="5" a="1"/>
  <c r="AE20" i="5" l="1"/>
  <c r="AY24" i="5"/>
  <c r="BA24" i="5" s="1"/>
  <c r="Y21" i="5"/>
  <c r="W20" i="5"/>
  <c r="X20" i="5" s="1"/>
  <c r="Z20" i="5" s="1"/>
  <c r="BA26" i="5"/>
  <c r="AW27" i="5"/>
  <c r="AX27" i="5" s="1"/>
  <c r="AW28" i="5" s="1"/>
  <c r="AX28" i="5" s="1"/>
  <c r="AW29" i="5" s="1"/>
  <c r="AX29" i="5" s="1"/>
  <c r="AY29" i="5" s="1"/>
  <c r="BA29" i="5" s="1"/>
  <c r="AY25" i="5"/>
  <c r="BA25" i="5" s="1"/>
  <c r="M21" i="5"/>
  <c r="AQ21" i="5"/>
  <c r="AO20" i="5"/>
  <c r="AN21" i="5" s="1"/>
  <c r="AH21" i="5" a="1"/>
  <c r="AQ22" i="5" a="1"/>
  <c r="P22" i="5" a="1"/>
  <c r="AH21" i="5" l="1"/>
  <c r="AF20" i="5"/>
  <c r="AG20" i="5" s="1"/>
  <c r="AI20" i="5" s="1"/>
  <c r="V21" i="5"/>
  <c r="AY28" i="5"/>
  <c r="BA28" i="5" s="1"/>
  <c r="AW30" i="5"/>
  <c r="AX30" i="5" s="1"/>
  <c r="AW31" i="5" s="1"/>
  <c r="AX31" i="5" s="1"/>
  <c r="AW32" i="5" s="1"/>
  <c r="AX32" i="5" s="1"/>
  <c r="AW33" i="5" s="1"/>
  <c r="AX33" i="5" s="1"/>
  <c r="AY33" i="5" s="1"/>
  <c r="BA33" i="5" s="1"/>
  <c r="AY27" i="5"/>
  <c r="BA27" i="5" s="1"/>
  <c r="P22" i="5"/>
  <c r="N21" i="5"/>
  <c r="O21" i="5" s="1"/>
  <c r="Q21" i="5" s="1"/>
  <c r="AQ22" i="5"/>
  <c r="AO21" i="5"/>
  <c r="AP21" i="5" s="1"/>
  <c r="AR21" i="5" s="1"/>
  <c r="AP20" i="5"/>
  <c r="AR20" i="5" s="1"/>
  <c r="Y22" i="5" a="1"/>
  <c r="AE21" i="5" l="1"/>
  <c r="Y22" i="5"/>
  <c r="W21" i="5"/>
  <c r="X21" i="5" s="1"/>
  <c r="Z21" i="5" s="1"/>
  <c r="AY31" i="5"/>
  <c r="BA31" i="5" s="1"/>
  <c r="AY32" i="5"/>
  <c r="BA32" i="5" s="1"/>
  <c r="AY30" i="5"/>
  <c r="BA30" i="5" s="1"/>
  <c r="AW34" i="5"/>
  <c r="AX34" i="5" s="1"/>
  <c r="AW35" i="5" s="1"/>
  <c r="AX35" i="5" s="1"/>
  <c r="AY35" i="5" s="1"/>
  <c r="BA35" i="5" s="1"/>
  <c r="M22" i="5"/>
  <c r="AN22" i="5"/>
  <c r="AH22" i="5" a="1"/>
  <c r="AQ23" i="5" a="1"/>
  <c r="P23" i="5" a="1"/>
  <c r="AH22" i="5" l="1"/>
  <c r="AF21" i="5"/>
  <c r="AG21" i="5" s="1"/>
  <c r="AI21" i="5" s="1"/>
  <c r="V22" i="5"/>
  <c r="AW36" i="5"/>
  <c r="AX36" i="5" s="1"/>
  <c r="AY36" i="5" s="1"/>
  <c r="BA36" i="5" s="1"/>
  <c r="AY34" i="5"/>
  <c r="BA34" i="5" s="1"/>
  <c r="P23" i="5"/>
  <c r="N22" i="5"/>
  <c r="O22" i="5" s="1"/>
  <c r="Q22" i="5" s="1"/>
  <c r="AQ23" i="5"/>
  <c r="AO22" i="5"/>
  <c r="AN23" i="5" s="1"/>
  <c r="AH23" i="5" a="1"/>
  <c r="AQ24" i="5" a="1"/>
  <c r="Y23" i="5" a="1"/>
  <c r="AE22" i="5" l="1"/>
  <c r="AF22" i="5" s="1"/>
  <c r="AG22" i="5" s="1"/>
  <c r="AI22" i="5" s="1"/>
  <c r="AH23" i="5"/>
  <c r="Y23" i="5"/>
  <c r="W22" i="5"/>
  <c r="V23" i="5" s="1"/>
  <c r="AW37" i="5"/>
  <c r="AX37" i="5" s="1"/>
  <c r="AW38" i="5" s="1"/>
  <c r="AX38" i="5" s="1"/>
  <c r="M23" i="5"/>
  <c r="AQ24" i="5"/>
  <c r="AO23" i="5"/>
  <c r="AN24" i="5" s="1"/>
  <c r="AP22" i="5"/>
  <c r="AR22" i="5" s="1"/>
  <c r="Y24" i="5" a="1"/>
  <c r="AQ25" i="5" a="1"/>
  <c r="P24" i="5" a="1"/>
  <c r="AE23" i="5" l="1"/>
  <c r="Y24" i="5"/>
  <c r="W23" i="5"/>
  <c r="V24" i="5" s="1"/>
  <c r="X22" i="5"/>
  <c r="Z22" i="5" s="1"/>
  <c r="AY37" i="5"/>
  <c r="BA37" i="5" s="1"/>
  <c r="P24" i="5"/>
  <c r="N23" i="5"/>
  <c r="O23" i="5" s="1"/>
  <c r="Q23" i="5" s="1"/>
  <c r="AW39" i="5"/>
  <c r="AX39" i="5" s="1"/>
  <c r="AY38" i="5"/>
  <c r="BA38" i="5" s="1"/>
  <c r="AQ25" i="5"/>
  <c r="AO24" i="5"/>
  <c r="AP24" i="5" s="1"/>
  <c r="AR24" i="5" s="1"/>
  <c r="AP23" i="5"/>
  <c r="AR23" i="5" s="1"/>
  <c r="Y25" i="5" a="1"/>
  <c r="AH24" i="5" a="1"/>
  <c r="Y26" i="5" a="1"/>
  <c r="Y25" i="5" l="1"/>
  <c r="W24" i="5"/>
  <c r="V25" i="5" s="1"/>
  <c r="W25" i="5" s="1"/>
  <c r="X25" i="5" s="1"/>
  <c r="AH24" i="5"/>
  <c r="AF23" i="5"/>
  <c r="AG23" i="5" s="1"/>
  <c r="AI23" i="5" s="1"/>
  <c r="Y26" i="5"/>
  <c r="X23" i="5"/>
  <c r="Z23" i="5" s="1"/>
  <c r="M24" i="5"/>
  <c r="AY39" i="5"/>
  <c r="BA39" i="5" s="1"/>
  <c r="AW40" i="5"/>
  <c r="AX40" i="5" s="1"/>
  <c r="AN25" i="5"/>
  <c r="AQ26" i="5" a="1"/>
  <c r="P25" i="5" a="1"/>
  <c r="Z25" i="5" l="1"/>
  <c r="X24" i="5"/>
  <c r="Z24" i="5" s="1"/>
  <c r="AE24" i="5"/>
  <c r="V26" i="5"/>
  <c r="P25" i="5"/>
  <c r="N24" i="5"/>
  <c r="O24" i="5" s="1"/>
  <c r="Q24" i="5" s="1"/>
  <c r="AQ26" i="5"/>
  <c r="AO25" i="5"/>
  <c r="AP25" i="5" s="1"/>
  <c r="AR25" i="5" s="1"/>
  <c r="AY40" i="5"/>
  <c r="BA40" i="5" s="1"/>
  <c r="AW41" i="5"/>
  <c r="AX41" i="5" s="1"/>
  <c r="AH25" i="5" a="1"/>
  <c r="Y27" i="5" a="1"/>
  <c r="AH25" i="5" l="1"/>
  <c r="AF24" i="5"/>
  <c r="AE25" i="5" s="1"/>
  <c r="Y27" i="5"/>
  <c r="W26" i="5"/>
  <c r="X26" i="5" s="1"/>
  <c r="Z26" i="5" s="1"/>
  <c r="M25" i="5"/>
  <c r="AN26" i="5"/>
  <c r="AY41" i="5"/>
  <c r="BA41" i="5" s="1"/>
  <c r="AW42" i="5"/>
  <c r="AX42" i="5" s="1"/>
  <c r="AH26" i="5" a="1"/>
  <c r="AQ27" i="5" a="1"/>
  <c r="P26" i="5" a="1"/>
  <c r="AH26" i="5" l="1"/>
  <c r="AF25" i="5"/>
  <c r="AG25" i="5" s="1"/>
  <c r="AI25" i="5" s="1"/>
  <c r="AG24" i="5"/>
  <c r="AI24" i="5" s="1"/>
  <c r="V27" i="5"/>
  <c r="P26" i="5"/>
  <c r="N25" i="5"/>
  <c r="O25" i="5" s="1"/>
  <c r="Q25" i="5" s="1"/>
  <c r="AQ27" i="5"/>
  <c r="AO26" i="5"/>
  <c r="AN27" i="5" s="1"/>
  <c r="AW43" i="5"/>
  <c r="AX43" i="5" s="1"/>
  <c r="AY42" i="5"/>
  <c r="BA42" i="5" s="1"/>
  <c r="Y38" i="5" a="1"/>
  <c r="Y48" i="5" a="1"/>
  <c r="Y42" i="5" a="1"/>
  <c r="Y31" i="5" a="1"/>
  <c r="Y40" i="5" a="1"/>
  <c r="Y30" i="5" a="1"/>
  <c r="Y36" i="5" a="1"/>
  <c r="Y34" i="5" a="1"/>
  <c r="Y41" i="5" a="1"/>
  <c r="Y37" i="5" a="1"/>
  <c r="Y46" i="5" a="1"/>
  <c r="Y47" i="5" a="1"/>
  <c r="Y50" i="5" a="1"/>
  <c r="Y32" i="5" a="1"/>
  <c r="Y39" i="5" a="1"/>
  <c r="Y28" i="5" a="1"/>
  <c r="Y45" i="5" a="1"/>
  <c r="Y33" i="5" a="1"/>
  <c r="Y35" i="5" a="1"/>
  <c r="Y52" i="5" a="1"/>
  <c r="Y43" i="5" a="1"/>
  <c r="Y44" i="5" a="1"/>
  <c r="Y51" i="5" a="1"/>
  <c r="Y49" i="5" a="1"/>
  <c r="Y29" i="5" a="1"/>
  <c r="AQ48" i="5" a="1"/>
  <c r="AQ32" i="5" a="1"/>
  <c r="AQ37" i="5" a="1"/>
  <c r="AQ33" i="5" a="1"/>
  <c r="AQ31" i="5" a="1"/>
  <c r="AQ44" i="5" a="1"/>
  <c r="AQ41" i="5" a="1"/>
  <c r="AQ39" i="5" a="1"/>
  <c r="AQ47" i="5" a="1"/>
  <c r="AQ42" i="5" a="1"/>
  <c r="AQ28" i="5" a="1"/>
  <c r="AQ29" i="5" a="1"/>
  <c r="AQ36" i="5" a="1"/>
  <c r="AQ46" i="5" a="1"/>
  <c r="AQ51" i="5" a="1"/>
  <c r="AQ40" i="5" a="1"/>
  <c r="AQ34" i="5" a="1"/>
  <c r="AQ52" i="5" a="1"/>
  <c r="AQ49" i="5" a="1"/>
  <c r="AQ38" i="5" a="1"/>
  <c r="AQ43" i="5" a="1"/>
  <c r="AQ45" i="5" a="1"/>
  <c r="AQ50" i="5" a="1"/>
  <c r="AQ30" i="5" a="1"/>
  <c r="AQ35" i="5" a="1"/>
  <c r="AH27" i="5" a="1"/>
  <c r="AE26" i="5" l="1"/>
  <c r="AF26" i="5" s="1"/>
  <c r="AG26" i="5" s="1"/>
  <c r="AI26" i="5" s="1"/>
  <c r="Y29" i="5"/>
  <c r="Y49" i="5"/>
  <c r="Y51" i="5"/>
  <c r="Y44" i="5"/>
  <c r="Y43" i="5"/>
  <c r="Y52" i="5"/>
  <c r="Y35" i="5"/>
  <c r="Y33" i="5"/>
  <c r="Y45" i="5"/>
  <c r="Y28" i="5"/>
  <c r="Y39" i="5"/>
  <c r="Y32" i="5"/>
  <c r="Y50" i="5"/>
  <c r="Y47" i="5"/>
  <c r="Y46" i="5"/>
  <c r="Y37" i="5"/>
  <c r="Y41" i="5"/>
  <c r="Y34" i="5"/>
  <c r="Y36" i="5"/>
  <c r="Y30" i="5"/>
  <c r="Y40" i="5"/>
  <c r="Y31" i="5"/>
  <c r="Y42" i="5"/>
  <c r="Y48" i="5"/>
  <c r="Y38" i="5"/>
  <c r="W27" i="5"/>
  <c r="V28" i="5" s="1"/>
  <c r="W28" i="5" s="1"/>
  <c r="X28" i="5" s="1"/>
  <c r="Z28" i="5" s="1"/>
  <c r="M26" i="5"/>
  <c r="AH27" i="5"/>
  <c r="AQ32" i="5"/>
  <c r="AQ35" i="5"/>
  <c r="AQ48" i="5"/>
  <c r="AQ33" i="5"/>
  <c r="AQ44" i="5"/>
  <c r="AQ50" i="5"/>
  <c r="AQ39" i="5"/>
  <c r="AQ40" i="5"/>
  <c r="AQ52" i="5"/>
  <c r="AQ34" i="5"/>
  <c r="AQ47" i="5"/>
  <c r="AQ41" i="5"/>
  <c r="AQ45" i="5"/>
  <c r="AQ51" i="5"/>
  <c r="AQ29" i="5"/>
  <c r="AQ46" i="5"/>
  <c r="AQ42" i="5"/>
  <c r="AQ30" i="5"/>
  <c r="AQ38" i="5"/>
  <c r="AQ43" i="5"/>
  <c r="AQ36" i="5"/>
  <c r="AQ37" i="5"/>
  <c r="AQ28" i="5"/>
  <c r="AQ49" i="5"/>
  <c r="AQ31" i="5"/>
  <c r="AO27" i="5"/>
  <c r="AP27" i="5" s="1"/>
  <c r="AR27" i="5" s="1"/>
  <c r="AP26" i="5"/>
  <c r="AR26" i="5" s="1"/>
  <c r="AY43" i="5"/>
  <c r="BA43" i="5" s="1"/>
  <c r="AW44" i="5"/>
  <c r="AX44" i="5" s="1"/>
  <c r="P27" i="5" a="1"/>
  <c r="V29" i="5" l="1"/>
  <c r="W29" i="5" s="1"/>
  <c r="X29" i="5" s="1"/>
  <c r="Z29" i="5" s="1"/>
  <c r="X27" i="5"/>
  <c r="Z27" i="5" s="1"/>
  <c r="P27" i="5"/>
  <c r="N26" i="5"/>
  <c r="M27" i="5" s="1"/>
  <c r="AN28" i="5"/>
  <c r="AO28" i="5" s="1"/>
  <c r="AP28" i="5" s="1"/>
  <c r="AR28" i="5" s="1"/>
  <c r="AW45" i="5"/>
  <c r="AX45" i="5" s="1"/>
  <c r="AY44" i="5"/>
  <c r="BA44" i="5" s="1"/>
  <c r="AE27" i="5"/>
  <c r="P32" i="5" a="1"/>
  <c r="P52" i="5" a="1"/>
  <c r="P46" i="5" a="1"/>
  <c r="P35" i="5" a="1"/>
  <c r="P37" i="5" a="1"/>
  <c r="P50" i="5" a="1"/>
  <c r="P47" i="5" a="1"/>
  <c r="P48" i="5" a="1"/>
  <c r="P51" i="5" a="1"/>
  <c r="P49" i="5" a="1"/>
  <c r="P39" i="5" a="1"/>
  <c r="P33" i="5" a="1"/>
  <c r="P44" i="5" a="1"/>
  <c r="P31" i="5" a="1"/>
  <c r="P34" i="5" a="1"/>
  <c r="P43" i="5" a="1"/>
  <c r="P29" i="5" a="1"/>
  <c r="P42" i="5" a="1"/>
  <c r="P40" i="5" a="1"/>
  <c r="P30" i="5" a="1"/>
  <c r="P41" i="5" a="1"/>
  <c r="P36" i="5" a="1"/>
  <c r="P38" i="5" a="1"/>
  <c r="P28" i="5" a="1"/>
  <c r="P45" i="5" a="1"/>
  <c r="AH49" i="5" a="1"/>
  <c r="AH28" i="5" a="1"/>
  <c r="AH48" i="5" a="1"/>
  <c r="AH40" i="5" a="1"/>
  <c r="AH51" i="5" a="1"/>
  <c r="AH38" i="5" a="1"/>
  <c r="AH44" i="5" a="1"/>
  <c r="AH37" i="5" a="1"/>
  <c r="AH52" i="5" a="1"/>
  <c r="AH39" i="5" a="1"/>
  <c r="AH34" i="5" a="1"/>
  <c r="AH30" i="5" a="1"/>
  <c r="AH43" i="5" a="1"/>
  <c r="AH31" i="5" a="1"/>
  <c r="AH33" i="5" a="1"/>
  <c r="AH35" i="5" a="1"/>
  <c r="AH45" i="5" a="1"/>
  <c r="AH32" i="5" a="1"/>
  <c r="AH50" i="5" a="1"/>
  <c r="AH29" i="5" a="1"/>
  <c r="AH46" i="5" a="1"/>
  <c r="AH41" i="5" a="1"/>
  <c r="AH36" i="5" a="1"/>
  <c r="AH42" i="5" a="1"/>
  <c r="AH47" i="5" a="1"/>
  <c r="P45" i="5" l="1"/>
  <c r="P28" i="5"/>
  <c r="P38" i="5"/>
  <c r="P36" i="5"/>
  <c r="P41" i="5"/>
  <c r="P30" i="5"/>
  <c r="P40" i="5"/>
  <c r="P42" i="5"/>
  <c r="P29" i="5"/>
  <c r="P43" i="5"/>
  <c r="P34" i="5"/>
  <c r="P31" i="5"/>
  <c r="P44" i="5"/>
  <c r="P33" i="5"/>
  <c r="P39" i="5"/>
  <c r="P49" i="5"/>
  <c r="P51" i="5"/>
  <c r="P48" i="5"/>
  <c r="P47" i="5"/>
  <c r="P50" i="5"/>
  <c r="P37" i="5"/>
  <c r="P35" i="5"/>
  <c r="P46" i="5"/>
  <c r="P52" i="5"/>
  <c r="P32" i="5"/>
  <c r="N27" i="5"/>
  <c r="M28" i="5" s="1"/>
  <c r="N28" i="5" s="1"/>
  <c r="M29" i="5" s="1"/>
  <c r="N29" i="5" s="1"/>
  <c r="M30" i="5" s="1"/>
  <c r="N30" i="5" s="1"/>
  <c r="O30" i="5" s="1"/>
  <c r="V30" i="5"/>
  <c r="W30" i="5" s="1"/>
  <c r="X30" i="5" s="1"/>
  <c r="Z30" i="5" s="1"/>
  <c r="O26" i="5"/>
  <c r="Q26" i="5" s="1"/>
  <c r="AH29" i="5"/>
  <c r="AH47" i="5"/>
  <c r="AH37" i="5"/>
  <c r="AH34" i="5"/>
  <c r="AH30" i="5"/>
  <c r="AH46" i="5"/>
  <c r="AH40" i="5"/>
  <c r="AH51" i="5"/>
  <c r="AH49" i="5"/>
  <c r="AH44" i="5"/>
  <c r="AH36" i="5"/>
  <c r="AH52" i="5"/>
  <c r="AH42" i="5"/>
  <c r="AH38" i="5"/>
  <c r="AH39" i="5"/>
  <c r="AH48" i="5"/>
  <c r="AH50" i="5"/>
  <c r="AH45" i="5"/>
  <c r="AH28" i="5"/>
  <c r="AH32" i="5"/>
  <c r="AH35" i="5"/>
  <c r="AH41" i="5"/>
  <c r="AH43" i="5"/>
  <c r="AH33" i="5"/>
  <c r="AH31" i="5"/>
  <c r="AN29" i="5"/>
  <c r="AO29" i="5" s="1"/>
  <c r="AP29" i="5" s="1"/>
  <c r="AR29" i="5" s="1"/>
  <c r="AF27" i="5"/>
  <c r="AG27" i="5" s="1"/>
  <c r="AI27" i="5" s="1"/>
  <c r="AY45" i="5"/>
  <c r="BA45" i="5" s="1"/>
  <c r="AW46" i="5"/>
  <c r="AX46" i="5" s="1"/>
  <c r="Q30" i="5" l="1"/>
  <c r="M31" i="5"/>
  <c r="N31" i="5" s="1"/>
  <c r="M32" i="5" s="1"/>
  <c r="N32" i="5" s="1"/>
  <c r="O32" i="5" s="1"/>
  <c r="Q32" i="5" s="1"/>
  <c r="O27" i="5"/>
  <c r="Q27" i="5" s="1"/>
  <c r="O29" i="5"/>
  <c r="Q29" i="5" s="1"/>
  <c r="O28" i="5"/>
  <c r="Q28" i="5" s="1"/>
  <c r="V31" i="5"/>
  <c r="W31" i="5" s="1"/>
  <c r="V32" i="5" s="1"/>
  <c r="W32" i="5" s="1"/>
  <c r="V33" i="5" s="1"/>
  <c r="W33" i="5" s="1"/>
  <c r="V34" i="5" s="1"/>
  <c r="W34" i="5" s="1"/>
  <c r="V35" i="5" s="1"/>
  <c r="W35" i="5" s="1"/>
  <c r="X35" i="5" s="1"/>
  <c r="Z35" i="5" s="1"/>
  <c r="AN30" i="5"/>
  <c r="AO30" i="5" s="1"/>
  <c r="AP30" i="5" s="1"/>
  <c r="AR30" i="5" s="1"/>
  <c r="AE28" i="5"/>
  <c r="AF28" i="5" s="1"/>
  <c r="AG28" i="5" s="1"/>
  <c r="AI28" i="5" s="1"/>
  <c r="AW47" i="5"/>
  <c r="AX47" i="5" s="1"/>
  <c r="AY46" i="5"/>
  <c r="BA46" i="5" s="1"/>
  <c r="M33" i="5" l="1"/>
  <c r="N33" i="5" s="1"/>
  <c r="O33" i="5" s="1"/>
  <c r="Q33" i="5" s="1"/>
  <c r="O31" i="5"/>
  <c r="Q31" i="5" s="1"/>
  <c r="X33" i="5"/>
  <c r="Z33" i="5" s="1"/>
  <c r="V36" i="5"/>
  <c r="W36" i="5" s="1"/>
  <c r="X36" i="5" s="1"/>
  <c r="Z36" i="5" s="1"/>
  <c r="X31" i="5"/>
  <c r="Z31" i="5" s="1"/>
  <c r="X32" i="5"/>
  <c r="Z32" i="5" s="1"/>
  <c r="X34" i="5"/>
  <c r="Z34" i="5" s="1"/>
  <c r="AN31" i="5"/>
  <c r="AO31" i="5" s="1"/>
  <c r="AP31" i="5" s="1"/>
  <c r="AR31" i="5" s="1"/>
  <c r="AE29" i="5"/>
  <c r="AF29" i="5" s="1"/>
  <c r="AG29" i="5" s="1"/>
  <c r="AI29" i="5" s="1"/>
  <c r="AW48" i="5"/>
  <c r="AX48" i="5" s="1"/>
  <c r="AY47" i="5"/>
  <c r="BA47" i="5" s="1"/>
  <c r="M34" i="5" l="1"/>
  <c r="N34" i="5" s="1"/>
  <c r="M35" i="5" s="1"/>
  <c r="N35" i="5" s="1"/>
  <c r="O35" i="5" s="1"/>
  <c r="Q35" i="5" s="1"/>
  <c r="V37" i="5"/>
  <c r="W37" i="5" s="1"/>
  <c r="V38" i="5" s="1"/>
  <c r="W38" i="5" s="1"/>
  <c r="V39" i="5" s="1"/>
  <c r="W39" i="5" s="1"/>
  <c r="V40" i="5" s="1"/>
  <c r="W40" i="5" s="1"/>
  <c r="X40" i="5" s="1"/>
  <c r="Z40" i="5" s="1"/>
  <c r="AN32" i="5"/>
  <c r="AO32" i="5" s="1"/>
  <c r="AN33" i="5" s="1"/>
  <c r="AO33" i="5" s="1"/>
  <c r="AP33" i="5" s="1"/>
  <c r="AR33" i="5" s="1"/>
  <c r="AE30" i="5"/>
  <c r="AF30" i="5" s="1"/>
  <c r="AG30" i="5" s="1"/>
  <c r="AI30" i="5" s="1"/>
  <c r="AW49" i="5"/>
  <c r="AX49" i="5" s="1"/>
  <c r="AY48" i="5"/>
  <c r="BA48" i="5" s="1"/>
  <c r="O34" i="5" l="1"/>
  <c r="Q34" i="5" s="1"/>
  <c r="M36" i="5"/>
  <c r="N36" i="5" s="1"/>
  <c r="M37" i="5" s="1"/>
  <c r="N37" i="5" s="1"/>
  <c r="M38" i="5" s="1"/>
  <c r="N38" i="5" s="1"/>
  <c r="X38" i="5"/>
  <c r="Z38" i="5" s="1"/>
  <c r="X37" i="5"/>
  <c r="Z37" i="5" s="1"/>
  <c r="X39" i="5"/>
  <c r="Z39" i="5" s="1"/>
  <c r="V41" i="5"/>
  <c r="W41" i="5" s="1"/>
  <c r="X41" i="5" s="1"/>
  <c r="Z41" i="5" s="1"/>
  <c r="AN34" i="5"/>
  <c r="AO34" i="5" s="1"/>
  <c r="AP34" i="5" s="1"/>
  <c r="AR34" i="5" s="1"/>
  <c r="AP32" i="5"/>
  <c r="AR32" i="5" s="1"/>
  <c r="AE31" i="5"/>
  <c r="AF31" i="5" s="1"/>
  <c r="AG31" i="5" s="1"/>
  <c r="AI31" i="5" s="1"/>
  <c r="AW50" i="5"/>
  <c r="AX50" i="5" s="1"/>
  <c r="AY49" i="5"/>
  <c r="BA49" i="5" s="1"/>
  <c r="O37" i="5" l="1"/>
  <c r="Q37" i="5" s="1"/>
  <c r="O36" i="5"/>
  <c r="Q36" i="5" s="1"/>
  <c r="V42" i="5"/>
  <c r="W42" i="5" s="1"/>
  <c r="X42" i="5" s="1"/>
  <c r="Z42" i="5" s="1"/>
  <c r="AN35" i="5"/>
  <c r="AO35" i="5" s="1"/>
  <c r="AP35" i="5" s="1"/>
  <c r="AR35" i="5" s="1"/>
  <c r="O38" i="5"/>
  <c r="Q38" i="5" s="1"/>
  <c r="M39" i="5"/>
  <c r="N39" i="5" s="1"/>
  <c r="AE32" i="5"/>
  <c r="AF32" i="5" s="1"/>
  <c r="AG32" i="5" s="1"/>
  <c r="AI32" i="5" s="1"/>
  <c r="AW51" i="5"/>
  <c r="AX51" i="5" s="1"/>
  <c r="AY50" i="5"/>
  <c r="BA50" i="5" s="1"/>
  <c r="V43" i="5" l="1"/>
  <c r="W43" i="5" s="1"/>
  <c r="V44" i="5" s="1"/>
  <c r="W44" i="5" s="1"/>
  <c r="X44" i="5" s="1"/>
  <c r="Z44" i="5" s="1"/>
  <c r="AN36" i="5"/>
  <c r="AO36" i="5" s="1"/>
  <c r="AP36" i="5" s="1"/>
  <c r="AR36" i="5" s="1"/>
  <c r="M40" i="5"/>
  <c r="N40" i="5" s="1"/>
  <c r="O39" i="5"/>
  <c r="Q39" i="5" s="1"/>
  <c r="AE33" i="5"/>
  <c r="AF33" i="5" s="1"/>
  <c r="AG33" i="5" s="1"/>
  <c r="AI33" i="5" s="1"/>
  <c r="AW52" i="5"/>
  <c r="AX52" i="5" s="1"/>
  <c r="AY52" i="5" s="1"/>
  <c r="BA52" i="5" s="1"/>
  <c r="AY51" i="5"/>
  <c r="BA51" i="5" s="1"/>
  <c r="V45" i="5" l="1"/>
  <c r="W45" i="5" s="1"/>
  <c r="X45" i="5" s="1"/>
  <c r="Z45" i="5" s="1"/>
  <c r="X43" i="5"/>
  <c r="Z43" i="5" s="1"/>
  <c r="AN37" i="5"/>
  <c r="AO37" i="5" s="1"/>
  <c r="AP37" i="5" s="1"/>
  <c r="AR37" i="5" s="1"/>
  <c r="O40" i="5"/>
  <c r="Q40" i="5" s="1"/>
  <c r="M41" i="5"/>
  <c r="N41" i="5" s="1"/>
  <c r="AE34" i="5"/>
  <c r="AF34" i="5" s="1"/>
  <c r="AG34" i="5" s="1"/>
  <c r="AI34" i="5" s="1"/>
  <c r="V92" i="2" a="1"/>
  <c r="V92" i="2" s="1"/>
  <c r="V46" i="5" l="1"/>
  <c r="W46" i="5" s="1"/>
  <c r="V47" i="5" s="1"/>
  <c r="W47" i="5" s="1"/>
  <c r="AN38" i="5"/>
  <c r="AO38" i="5" s="1"/>
  <c r="AP38" i="5" s="1"/>
  <c r="AR38" i="5" s="1"/>
  <c r="O41" i="5"/>
  <c r="Q41" i="5" s="1"/>
  <c r="M42" i="5"/>
  <c r="N42" i="5" s="1"/>
  <c r="AE35" i="5"/>
  <c r="AF35" i="5" s="1"/>
  <c r="AG35" i="5" s="1"/>
  <c r="AI35" i="5" s="1"/>
  <c r="S65" i="2"/>
  <c r="P65" i="2"/>
  <c r="P66" i="2"/>
  <c r="K20" i="6" s="1"/>
  <c r="X46" i="5" l="1"/>
  <c r="Z46" i="5" s="1"/>
  <c r="AN39" i="5"/>
  <c r="AO39" i="5" s="1"/>
  <c r="AP39" i="5" s="1"/>
  <c r="AR39" i="5" s="1"/>
  <c r="O42" i="5"/>
  <c r="Q42" i="5" s="1"/>
  <c r="M43" i="5"/>
  <c r="N43" i="5" s="1"/>
  <c r="AE36" i="5"/>
  <c r="AF36" i="5" s="1"/>
  <c r="AG36" i="5" s="1"/>
  <c r="AI36" i="5" s="1"/>
  <c r="K13" i="6"/>
  <c r="K19" i="6"/>
  <c r="N8" i="6"/>
  <c r="V48" i="5"/>
  <c r="W48" i="5" s="1"/>
  <c r="X47" i="5"/>
  <c r="Z47" i="5" s="1"/>
  <c r="S75" i="2"/>
  <c r="AN40" i="5" l="1"/>
  <c r="AO40" i="5" s="1"/>
  <c r="AP40" i="5" s="1"/>
  <c r="AR40" i="5" s="1"/>
  <c r="M44" i="5"/>
  <c r="N44" i="5" s="1"/>
  <c r="O43" i="5"/>
  <c r="Q43" i="5" s="1"/>
  <c r="AE37" i="5"/>
  <c r="AF37" i="5" s="1"/>
  <c r="AG37" i="5" s="1"/>
  <c r="AI37" i="5" s="1"/>
  <c r="N13" i="6"/>
  <c r="X48" i="5"/>
  <c r="Z48" i="5" s="1"/>
  <c r="V49" i="5"/>
  <c r="W49" i="5" s="1"/>
  <c r="AN41" i="5" l="1"/>
  <c r="AO41" i="5" s="1"/>
  <c r="AP41" i="5" s="1"/>
  <c r="AR41" i="5" s="1"/>
  <c r="O44" i="5"/>
  <c r="Q44" i="5" s="1"/>
  <c r="M45" i="5"/>
  <c r="N45" i="5" s="1"/>
  <c r="AE38" i="5"/>
  <c r="AF38" i="5" s="1"/>
  <c r="AE39" i="5" s="1"/>
  <c r="AF39" i="5" s="1"/>
  <c r="AG39" i="5" s="1"/>
  <c r="AI39" i="5" s="1"/>
  <c r="V50" i="5"/>
  <c r="W50" i="5" s="1"/>
  <c r="X49" i="5"/>
  <c r="Z49" i="5" s="1"/>
  <c r="AN42" i="5" l="1"/>
  <c r="AO42" i="5" s="1"/>
  <c r="AP42" i="5" s="1"/>
  <c r="AR42" i="5" s="1"/>
  <c r="O45" i="5"/>
  <c r="Q45" i="5" s="1"/>
  <c r="M46" i="5"/>
  <c r="N46" i="5" s="1"/>
  <c r="AE40" i="5"/>
  <c r="AF40" i="5" s="1"/>
  <c r="AG40" i="5" s="1"/>
  <c r="AI40" i="5" s="1"/>
  <c r="AG38" i="5"/>
  <c r="AI38" i="5" s="1"/>
  <c r="X50" i="5"/>
  <c r="Z50" i="5" s="1"/>
  <c r="V51" i="5"/>
  <c r="W51" i="5" s="1"/>
  <c r="AN43" i="5" l="1"/>
  <c r="AO43" i="5" s="1"/>
  <c r="AP43" i="5" s="1"/>
  <c r="AR43" i="5" s="1"/>
  <c r="O46" i="5"/>
  <c r="Q46" i="5" s="1"/>
  <c r="M47" i="5"/>
  <c r="N47" i="5" s="1"/>
  <c r="AE41" i="5"/>
  <c r="AF41" i="5" s="1"/>
  <c r="AG41" i="5" s="1"/>
  <c r="AI41" i="5" s="1"/>
  <c r="X51" i="5"/>
  <c r="Z51" i="5" s="1"/>
  <c r="V52" i="5"/>
  <c r="W52" i="5" s="1"/>
  <c r="X52" i="5" s="1"/>
  <c r="Z52" i="5" s="1"/>
  <c r="AN44" i="5" l="1"/>
  <c r="AO44" i="5" s="1"/>
  <c r="AP44" i="5" s="1"/>
  <c r="AR44" i="5" s="1"/>
  <c r="O47" i="5"/>
  <c r="Q47" i="5" s="1"/>
  <c r="M48" i="5"/>
  <c r="N48" i="5" s="1"/>
  <c r="AE42" i="5"/>
  <c r="AF42" i="5" s="1"/>
  <c r="AG42" i="5" s="1"/>
  <c r="AI42" i="5" s="1"/>
  <c r="M92" i="2" a="1"/>
  <c r="M92" i="2" s="1"/>
  <c r="AN45" i="5" l="1"/>
  <c r="AO45" i="5" s="1"/>
  <c r="AP45" i="5" s="1"/>
  <c r="AR45" i="5" s="1"/>
  <c r="O48" i="5"/>
  <c r="Q48" i="5" s="1"/>
  <c r="M49" i="5"/>
  <c r="N49" i="5" s="1"/>
  <c r="AE43" i="5"/>
  <c r="AF43" i="5" s="1"/>
  <c r="AG43" i="5" s="1"/>
  <c r="AI43" i="5" s="1"/>
  <c r="AN46" i="5" l="1"/>
  <c r="AO46" i="5" s="1"/>
  <c r="AN47" i="5" s="1"/>
  <c r="AO47" i="5" s="1"/>
  <c r="AP47" i="5" s="1"/>
  <c r="AR47" i="5" s="1"/>
  <c r="O49" i="5"/>
  <c r="Q49" i="5" s="1"/>
  <c r="M50" i="5"/>
  <c r="N50" i="5" s="1"/>
  <c r="AE44" i="5"/>
  <c r="AF44" i="5" s="1"/>
  <c r="AG44" i="5" s="1"/>
  <c r="AI44" i="5" s="1"/>
  <c r="AP46" i="5" l="1"/>
  <c r="AR46" i="5" s="1"/>
  <c r="AN48" i="5"/>
  <c r="AO48" i="5" s="1"/>
  <c r="AP48" i="5" s="1"/>
  <c r="AR48" i="5" s="1"/>
  <c r="O50" i="5"/>
  <c r="Q50" i="5" s="1"/>
  <c r="M51" i="5"/>
  <c r="N51" i="5" s="1"/>
  <c r="AE45" i="5"/>
  <c r="AF45" i="5" s="1"/>
  <c r="AG45" i="5" s="1"/>
  <c r="AI45" i="5" s="1"/>
  <c r="AN49" i="5" l="1"/>
  <c r="AO49" i="5" s="1"/>
  <c r="AP49" i="5" s="1"/>
  <c r="AR49" i="5" s="1"/>
  <c r="M52" i="5"/>
  <c r="N52" i="5" s="1"/>
  <c r="O52" i="5" s="1"/>
  <c r="Q52" i="5" s="1"/>
  <c r="O51" i="5"/>
  <c r="Q51" i="5" s="1"/>
  <c r="AE46" i="5"/>
  <c r="AF46" i="5" s="1"/>
  <c r="AG46" i="5" s="1"/>
  <c r="AI46" i="5" s="1"/>
  <c r="I92" i="2" l="1" a="1"/>
  <c r="I92" i="2" s="1"/>
  <c r="AN50" i="5"/>
  <c r="AO50" i="5" s="1"/>
  <c r="AP50" i="5" s="1"/>
  <c r="AR50" i="5" s="1"/>
  <c r="AE47" i="5"/>
  <c r="AF47" i="5" s="1"/>
  <c r="AG47" i="5" s="1"/>
  <c r="AI47" i="5" s="1"/>
  <c r="AN51" i="5" l="1"/>
  <c r="AO51" i="5" s="1"/>
  <c r="AP51" i="5" s="1"/>
  <c r="AR51" i="5" s="1"/>
  <c r="AE48" i="5"/>
  <c r="AF48" i="5" s="1"/>
  <c r="AG48" i="5" s="1"/>
  <c r="AI48" i="5" s="1"/>
  <c r="AN52" i="5" l="1"/>
  <c r="AO52" i="5" s="1"/>
  <c r="AP52" i="5" s="1"/>
  <c r="AR52" i="5" s="1"/>
  <c r="S92" i="2" s="1" a="1"/>
  <c r="S92" i="2" s="1"/>
  <c r="AE49" i="5"/>
  <c r="AF49" i="5" s="1"/>
  <c r="AE50" i="5" s="1"/>
  <c r="AF50" i="5" s="1"/>
  <c r="AG49" i="5" l="1"/>
  <c r="AI49" i="5" s="1"/>
  <c r="AE51" i="5"/>
  <c r="AF51" i="5" s="1"/>
  <c r="AG50" i="5"/>
  <c r="AI50" i="5" s="1"/>
  <c r="AG51" i="5" l="1"/>
  <c r="AI51" i="5" s="1"/>
  <c r="AE52" i="5"/>
  <c r="AF52" i="5" s="1"/>
  <c r="AG52" i="5" s="1"/>
  <c r="AI52" i="5" s="1"/>
  <c r="P92" i="2" l="1" a="1"/>
  <c r="P92" i="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H21" authorId="0" shapeId="0" xr:uid="{C10081CF-15D7-495A-A67A-913789D0139D}">
      <text>
        <r>
          <rPr>
            <b/>
            <sz val="16"/>
            <color indexed="81"/>
            <rFont val="Segoe UI"/>
            <family val="2"/>
          </rPr>
          <t xml:space="preserve">Considerar reações do aterro como favoráveis ou nulas </t>
        </r>
      </text>
    </comment>
    <comment ref="H22" authorId="0" shapeId="0" xr:uid="{71B1D12F-9EDF-4965-84BB-D56D1185CFF8}">
      <text>
        <r>
          <rPr>
            <b/>
            <sz val="16"/>
            <color indexed="81"/>
            <rFont val="Segoe UI"/>
            <family val="2"/>
          </rPr>
          <t xml:space="preserve">Considerar solos colapsiveis com reação nula ou desfavorável </t>
        </r>
      </text>
    </comment>
    <comment ref="H23" authorId="0" shapeId="0" xr:uid="{54894783-CB09-4480-B0A5-AA1F20DC4715}">
      <text>
        <r>
          <rPr>
            <b/>
            <sz val="16"/>
            <color indexed="81"/>
            <rFont val="Segoe UI"/>
            <family val="2"/>
          </rPr>
          <t xml:space="preserve">Expoente de deforma de Cintra&amp;Aoki.
n = 0    para argila dura
n = 0,5 para granulares  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B24" authorId="0" shapeId="0" xr:uid="{00000000-0006-0000-0300-000001000000}">
      <text>
        <r>
          <rPr>
            <b/>
            <sz val="9"/>
            <color indexed="81"/>
            <rFont val="Segoe UI"/>
            <family val="2"/>
          </rPr>
          <t xml:space="preserve">1,3 pelo metodo
</t>
        </r>
      </text>
    </comment>
    <comment ref="C24" authorId="0" shapeId="0" xr:uid="{00000000-0006-0000-0300-000002000000}">
      <text>
        <r>
          <rPr>
            <b/>
            <sz val="9"/>
            <color indexed="81"/>
            <rFont val="Segoe UI"/>
            <family val="2"/>
          </rPr>
          <t>1,5 pelo metodo</t>
        </r>
      </text>
    </comment>
    <comment ref="B25" authorId="0" shapeId="0" xr:uid="{00000000-0006-0000-0300-000003000000}">
      <text>
        <r>
          <rPr>
            <b/>
            <sz val="9"/>
            <color indexed="81"/>
            <rFont val="Segoe UI"/>
            <family val="2"/>
          </rPr>
          <t>4 pelo metodo</t>
        </r>
      </text>
    </comment>
    <comment ref="C25" authorId="0" shapeId="0" xr:uid="{00000000-0006-0000-0300-000004000000}">
      <text>
        <r>
          <rPr>
            <b/>
            <sz val="9"/>
            <color indexed="81"/>
            <rFont val="Segoe UI"/>
            <family val="2"/>
          </rPr>
          <t xml:space="preserve">4 pelo metodo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Felipe Gostosão</author>
  </authors>
  <commentList>
    <comment ref="I2" authorId="0" shapeId="0" xr:uid="{00000000-0006-0000-0200-000001000000}">
      <text>
        <r>
          <rPr>
            <b/>
            <sz val="9"/>
            <color indexed="81"/>
            <rFont val="Segoe UI"/>
            <family val="2"/>
          </rPr>
          <t>Tabelado apenas para:
Cravada
Escavada
Helice Cotinua</t>
        </r>
      </text>
    </comment>
    <comment ref="Q2" authorId="0" shapeId="0" xr:uid="{00000000-0006-0000-0200-000002000000}">
      <text>
        <r>
          <rPr>
            <b/>
            <sz val="9"/>
            <color indexed="81"/>
            <rFont val="Segoe UI"/>
            <family val="2"/>
          </rPr>
          <t>Felipe Gostosão:</t>
        </r>
        <r>
          <rPr>
            <sz val="9"/>
            <color indexed="81"/>
            <rFont val="Segoe UI"/>
            <family val="2"/>
          </rPr>
          <t xml:space="preserve">
coeficiente n sem discretização por solo </t>
        </r>
      </text>
    </comment>
    <comment ref="Z2" authorId="0" shapeId="0" xr:uid="{00000000-0006-0000-0200-000003000000}">
      <text>
        <r>
          <rPr>
            <b/>
            <sz val="9"/>
            <color indexed="81"/>
            <rFont val="Segoe UI"/>
            <family val="2"/>
          </rPr>
          <t>Felipe Gostosão:</t>
        </r>
        <r>
          <rPr>
            <sz val="9"/>
            <color indexed="81"/>
            <rFont val="Segoe UI"/>
            <family val="2"/>
          </rPr>
          <t xml:space="preserve">
coeficiente n sem discretização por solo </t>
        </r>
      </text>
    </comment>
    <comment ref="AI2" authorId="0" shapeId="0" xr:uid="{00000000-0006-0000-0200-000004000000}">
      <text>
        <r>
          <rPr>
            <b/>
            <sz val="9"/>
            <color indexed="81"/>
            <rFont val="Segoe UI"/>
            <family val="2"/>
          </rPr>
          <t>Felipe Gostosão:</t>
        </r>
        <r>
          <rPr>
            <sz val="9"/>
            <color indexed="81"/>
            <rFont val="Segoe UI"/>
            <family val="2"/>
          </rPr>
          <t xml:space="preserve">
coeficiente n sem discretização por solo </t>
        </r>
      </text>
    </comment>
    <comment ref="AR2" authorId="0" shapeId="0" xr:uid="{00000000-0006-0000-0200-000005000000}">
      <text>
        <r>
          <rPr>
            <b/>
            <sz val="9"/>
            <color indexed="81"/>
            <rFont val="Segoe UI"/>
            <family val="2"/>
          </rPr>
          <t>Felipe Gostosão:</t>
        </r>
        <r>
          <rPr>
            <sz val="9"/>
            <color indexed="81"/>
            <rFont val="Segoe UI"/>
            <family val="2"/>
          </rPr>
          <t xml:space="preserve">
coeficiente n sem discretização por solo </t>
        </r>
      </text>
    </comment>
    <comment ref="BA2" authorId="0" shapeId="0" xr:uid="{00000000-0006-0000-0200-000006000000}">
      <text>
        <r>
          <rPr>
            <b/>
            <sz val="9"/>
            <color indexed="81"/>
            <rFont val="Segoe UI"/>
            <family val="2"/>
          </rPr>
          <t>Felipe Gostosão:</t>
        </r>
        <r>
          <rPr>
            <sz val="9"/>
            <color indexed="81"/>
            <rFont val="Segoe UI"/>
            <family val="2"/>
          </rPr>
          <t xml:space="preserve">
coeficiente n sem discretização por solo </t>
        </r>
      </text>
    </comment>
    <comment ref="BJ2" authorId="0" shapeId="0" xr:uid="{00000000-0006-0000-0200-000007000000}">
      <text>
        <r>
          <rPr>
            <b/>
            <sz val="9"/>
            <color indexed="81"/>
            <rFont val="Segoe UI"/>
            <family val="2"/>
          </rPr>
          <t>Felipe Gostosão:</t>
        </r>
        <r>
          <rPr>
            <sz val="9"/>
            <color indexed="81"/>
            <rFont val="Segoe UI"/>
            <family val="2"/>
          </rPr>
          <t xml:space="preserve">
coeficiente n sem discretização por solo </t>
        </r>
      </text>
    </comment>
    <comment ref="S4" authorId="0" shapeId="0" xr:uid="{00000000-0006-0000-0200-000008000000}">
      <text>
        <r>
          <rPr>
            <b/>
            <sz val="9"/>
            <color indexed="81"/>
            <rFont val="Segoe UI"/>
            <family val="2"/>
          </rPr>
          <t>Felipe :</t>
        </r>
        <r>
          <rPr>
            <sz val="9"/>
            <color indexed="81"/>
            <rFont val="Segoe UI"/>
            <family val="2"/>
          </rPr>
          <t xml:space="preserve">
Area referente ao perimetro 
</t>
        </r>
      </text>
    </comment>
    <comment ref="AB4" authorId="0" shapeId="0" xr:uid="{00000000-0006-0000-0200-000009000000}">
      <text>
        <r>
          <rPr>
            <b/>
            <sz val="9"/>
            <color indexed="81"/>
            <rFont val="Segoe UI"/>
            <family val="2"/>
          </rPr>
          <t>Felipe:</t>
        </r>
        <r>
          <rPr>
            <sz val="9"/>
            <color indexed="81"/>
            <rFont val="Segoe UI"/>
            <family val="2"/>
          </rPr>
          <t xml:space="preserve">
Area referente ao perimetro</t>
        </r>
      </text>
    </comment>
    <comment ref="AK4" authorId="0" shapeId="0" xr:uid="{00000000-0006-0000-0200-00000A000000}">
      <text>
        <r>
          <rPr>
            <b/>
            <sz val="9"/>
            <color indexed="81"/>
            <rFont val="Segoe UI"/>
            <family val="2"/>
          </rPr>
          <t>Felipe:</t>
        </r>
        <r>
          <rPr>
            <sz val="9"/>
            <color indexed="81"/>
            <rFont val="Segoe UI"/>
            <family val="2"/>
          </rPr>
          <t xml:space="preserve">
Area referente ao perimetro</t>
        </r>
      </text>
    </comment>
    <comment ref="AT4" authorId="0" shapeId="0" xr:uid="{00000000-0006-0000-0200-00000B000000}">
      <text>
        <r>
          <rPr>
            <b/>
            <sz val="9"/>
            <color indexed="81"/>
            <rFont val="Segoe UI"/>
            <family val="2"/>
          </rPr>
          <t>Felipe :</t>
        </r>
        <r>
          <rPr>
            <sz val="9"/>
            <color indexed="81"/>
            <rFont val="Segoe UI"/>
            <family val="2"/>
          </rPr>
          <t xml:space="preserve">
Area referente ao perimetro 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E2" authorId="0" shapeId="0" xr:uid="{470E4E76-3070-4493-9216-D592E7063143}">
      <text>
        <r>
          <rPr>
            <b/>
            <sz val="9"/>
            <color indexed="81"/>
            <rFont val="Segoe UI"/>
            <family val="2"/>
          </rPr>
          <t>Sicro 2306101</t>
        </r>
      </text>
    </comment>
    <comment ref="G2" authorId="0" shapeId="0" xr:uid="{B780C052-AFBB-432C-875C-A640FC66A3E2}">
      <text>
        <r>
          <rPr>
            <b/>
            <sz val="9"/>
            <color indexed="81"/>
            <rFont val="Segoe UI"/>
            <family val="2"/>
          </rPr>
          <t>SICOR-MG 
ED-29802</t>
        </r>
      </text>
    </comment>
    <comment ref="I2" authorId="0" shapeId="0" xr:uid="{098BB7E5-68ED-4D27-81D0-295799B2B3C2}">
      <text>
        <r>
          <rPr>
            <b/>
            <sz val="9"/>
            <color indexed="81"/>
            <rFont val="Segoe UI"/>
            <family val="2"/>
          </rPr>
          <t>SICRO
102976
102975</t>
        </r>
      </text>
    </comment>
    <comment ref="K2" authorId="0" shapeId="0" xr:uid="{650D316E-A33D-4142-8391-EE001CB03637}">
      <text>
        <r>
          <rPr>
            <b/>
            <sz val="9"/>
            <color indexed="81"/>
            <rFont val="Segoe UI"/>
            <family val="2"/>
          </rPr>
          <t>Sicro 2306074</t>
        </r>
      </text>
    </comment>
    <comment ref="M2" authorId="0" shapeId="0" xr:uid="{96A7B38C-EC39-4DEA-B13E-47F2E630BC84}">
      <text>
        <r>
          <rPr>
            <b/>
            <sz val="9"/>
            <color indexed="81"/>
            <rFont val="Segoe UI"/>
            <family val="2"/>
          </rPr>
          <t>SICRO 2306095</t>
        </r>
      </text>
    </comment>
    <comment ref="O2" authorId="0" shapeId="0" xr:uid="{8670D0BE-EEE3-43F0-86D1-57238A9BAFB4}">
      <text>
        <r>
          <rPr>
            <b/>
            <sz val="9"/>
            <color indexed="81"/>
            <rFont val="Segoe UI"/>
            <family val="2"/>
          </rPr>
          <t>Sicro 2306072</t>
        </r>
      </text>
    </comment>
    <comment ref="Q2" authorId="0" shapeId="0" xr:uid="{6CE775EC-41AE-4BE8-9BE3-F0421329FCB5}">
      <text>
        <r>
          <rPr>
            <b/>
            <sz val="9"/>
            <color indexed="81"/>
            <rFont val="Segoe UI"/>
            <family val="2"/>
          </rPr>
          <t>SICRO 2306009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<sst xmlns="http://schemas.openxmlformats.org/spreadsheetml/2006/main" count="1108" uniqueCount="409">
  <si>
    <t>Fatores de correção F1 e F2</t>
  </si>
  <si>
    <t>Solo</t>
  </si>
  <si>
    <t>K (Mpa)</t>
  </si>
  <si>
    <r>
      <rPr>
        <sz val="11"/>
        <color theme="1"/>
        <rFont val="Symbol"/>
        <family val="1"/>
        <charset val="2"/>
      </rPr>
      <t>a</t>
    </r>
    <r>
      <rPr>
        <sz val="11"/>
        <color theme="1"/>
        <rFont val="Calibri"/>
        <family val="2"/>
        <scheme val="minor"/>
      </rPr>
      <t xml:space="preserve"> (%)</t>
    </r>
  </si>
  <si>
    <t>Tipo de estaca</t>
  </si>
  <si>
    <t>F1</t>
  </si>
  <si>
    <t>F2</t>
  </si>
  <si>
    <t>Franki</t>
  </si>
  <si>
    <t>Metálica</t>
  </si>
  <si>
    <t>Pré-moldada</t>
  </si>
  <si>
    <t>Escavada</t>
  </si>
  <si>
    <t>Raiz</t>
  </si>
  <si>
    <t>Ômega</t>
  </si>
  <si>
    <t>Diâmetro (cm) =</t>
  </si>
  <si>
    <t>Prof.(m)</t>
  </si>
  <si>
    <t>Tipo de Solo</t>
  </si>
  <si>
    <t>N</t>
  </si>
  <si>
    <t>a</t>
  </si>
  <si>
    <t>k</t>
  </si>
  <si>
    <t>rl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</si>
  <si>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</si>
  <si>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</si>
  <si>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</si>
  <si>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</si>
  <si>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</si>
  <si>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</si>
  <si>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</si>
  <si>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</si>
  <si>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</si>
  <si>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</si>
  <si>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L</t>
  </si>
  <si>
    <t>M</t>
  </si>
  <si>
    <t>O</t>
  </si>
  <si>
    <t>P</t>
  </si>
  <si>
    <t>codigo</t>
  </si>
  <si>
    <t>A-areia</t>
  </si>
  <si>
    <t>B-areia siltosa</t>
  </si>
  <si>
    <t>C-areia siltoargilosa</t>
  </si>
  <si>
    <t>D-areia argilosa</t>
  </si>
  <si>
    <t>E-areia argilossiltosa</t>
  </si>
  <si>
    <t>F-silte</t>
  </si>
  <si>
    <t>G-silte arenoso</t>
  </si>
  <si>
    <t>H-silte arenoargiloso</t>
  </si>
  <si>
    <t>I-silte argiloso</t>
  </si>
  <si>
    <t>J-silte argiloarenoso</t>
  </si>
  <si>
    <t>L-argila</t>
  </si>
  <si>
    <t>M-argila arenosa</t>
  </si>
  <si>
    <t>N-argila arenossiltosa</t>
  </si>
  <si>
    <t>O-argila siltosa</t>
  </si>
  <si>
    <t>P-argila siltoarenosa</t>
  </si>
  <si>
    <t>Nspt</t>
  </si>
  <si>
    <t>Tipo de estaca =</t>
  </si>
  <si>
    <t>A-Franki</t>
  </si>
  <si>
    <t>B-Metálica</t>
  </si>
  <si>
    <t>C-Pré-moldada</t>
  </si>
  <si>
    <t>D-Escavada</t>
  </si>
  <si>
    <t>E-Raiz</t>
  </si>
  <si>
    <t>F-Hélice Contínua</t>
  </si>
  <si>
    <t>G-Ômega</t>
  </si>
  <si>
    <t>rp</t>
  </si>
  <si>
    <t>contador =</t>
  </si>
  <si>
    <t>Diâmetros (em cm)</t>
  </si>
  <si>
    <t>Hélice continua</t>
  </si>
  <si>
    <t>ESTACA ESCOLHIDA</t>
  </si>
  <si>
    <t>RL (kN)</t>
  </si>
  <si>
    <t>A lateral (m²)</t>
  </si>
  <si>
    <t>Rp (kN)</t>
  </si>
  <si>
    <t>RT (kN)</t>
  </si>
  <si>
    <t>CA (m) =</t>
  </si>
  <si>
    <t>CP (m) =</t>
  </si>
  <si>
    <t>Radm (kN)</t>
  </si>
  <si>
    <t>Tipo de solo</t>
  </si>
  <si>
    <t>Área da seção:</t>
  </si>
  <si>
    <t>OU INFORME:</t>
  </si>
  <si>
    <t>rp =</t>
  </si>
  <si>
    <t>rl =</t>
  </si>
  <si>
    <t>Rp =</t>
  </si>
  <si>
    <t>RL =</t>
  </si>
  <si>
    <t>Cota de ponta:</t>
  </si>
  <si>
    <t>Aoki-Velloso</t>
  </si>
  <si>
    <t>F.S.global =</t>
  </si>
  <si>
    <t>F.S.ponta =</t>
  </si>
  <si>
    <t>F.S.lateral =</t>
  </si>
  <si>
    <t>A-Área (m²) =</t>
  </si>
  <si>
    <t>B-Área (m²) =</t>
  </si>
  <si>
    <t>A-Perímetro (m) =</t>
  </si>
  <si>
    <t>B-Perímetro (m) =</t>
  </si>
  <si>
    <t>Décourt</t>
  </si>
  <si>
    <t>Teixieria</t>
  </si>
  <si>
    <t>AOKI-VELLOSO</t>
  </si>
  <si>
    <t>DÉCOURT</t>
  </si>
  <si>
    <t>Coeficiente característico do solo C</t>
  </si>
  <si>
    <t>B-silte argiloso</t>
  </si>
  <si>
    <t>A-argila</t>
  </si>
  <si>
    <t>C-silte arenoso</t>
  </si>
  <si>
    <t>D-areia</t>
  </si>
  <si>
    <t>C (kPa)</t>
  </si>
  <si>
    <r>
      <t xml:space="preserve">Valores do fator </t>
    </r>
    <r>
      <rPr>
        <sz val="11"/>
        <color theme="1"/>
        <rFont val="Symbol"/>
        <family val="1"/>
        <charset val="2"/>
      </rPr>
      <t>a</t>
    </r>
    <r>
      <rPr>
        <sz val="11"/>
        <color theme="1"/>
        <rFont val="Calibri"/>
        <family val="2"/>
        <scheme val="minor"/>
      </rPr>
      <t xml:space="preserve"> em função do tipo de estaca e do solo</t>
    </r>
  </si>
  <si>
    <r>
      <t xml:space="preserve">Valores do fator </t>
    </r>
    <r>
      <rPr>
        <sz val="11"/>
        <color theme="1"/>
        <rFont val="Symbol"/>
        <family val="1"/>
        <charset val="2"/>
      </rPr>
      <t xml:space="preserve"> b</t>
    </r>
    <r>
      <rPr>
        <sz val="11"/>
        <color theme="1"/>
        <rFont val="Calibri"/>
        <family val="2"/>
        <scheme val="minor"/>
      </rPr>
      <t xml:space="preserve"> em função do tipo de estaca e do solo</t>
    </r>
  </si>
  <si>
    <t>A-Argilas</t>
  </si>
  <si>
    <t>B-Solos intermediários</t>
  </si>
  <si>
    <t>C-Areias</t>
  </si>
  <si>
    <t>TEIXEIRA</t>
  </si>
  <si>
    <t>A-argila siltosa</t>
  </si>
  <si>
    <t>C-argila arenosa</t>
  </si>
  <si>
    <t>D-silte arenoso</t>
  </si>
  <si>
    <t>E-areia argilosa</t>
  </si>
  <si>
    <t>F-areia siltosa</t>
  </si>
  <si>
    <t>G - areia</t>
  </si>
  <si>
    <t>H-areia com pedregulhos</t>
  </si>
  <si>
    <r>
      <t xml:space="preserve">Valores do parâmetro </t>
    </r>
    <r>
      <rPr>
        <sz val="11"/>
        <color theme="1"/>
        <rFont val="Symbol"/>
        <family val="1"/>
        <charset val="2"/>
      </rPr>
      <t>a</t>
    </r>
  </si>
  <si>
    <r>
      <t xml:space="preserve">Valores do parâmetro </t>
    </r>
    <r>
      <rPr>
        <sz val="11"/>
        <color theme="1"/>
        <rFont val="Symbol"/>
        <family val="1"/>
        <charset val="2"/>
      </rPr>
      <t>b</t>
    </r>
  </si>
  <si>
    <r>
      <rPr>
        <sz val="11"/>
        <color theme="1"/>
        <rFont val="Symbol"/>
        <family val="1"/>
        <charset val="2"/>
      </rPr>
      <t>b</t>
    </r>
    <r>
      <rPr>
        <sz val="11"/>
        <color theme="1"/>
        <rFont val="Calibri"/>
        <family val="2"/>
        <scheme val="minor"/>
      </rPr>
      <t xml:space="preserve"> (kPa)</t>
    </r>
  </si>
  <si>
    <t>Teixeira</t>
  </si>
  <si>
    <t>parametro C</t>
  </si>
  <si>
    <t>tipo de solo</t>
  </si>
  <si>
    <t>b</t>
  </si>
  <si>
    <t>A-Escavada em geral</t>
  </si>
  <si>
    <t>B-Escavada (bentonita)</t>
  </si>
  <si>
    <t>C-Hélice Contínua</t>
  </si>
  <si>
    <t>D-Raiz</t>
  </si>
  <si>
    <t>A-Pré-moldada</t>
  </si>
  <si>
    <t>B-Perfil Metálico</t>
  </si>
  <si>
    <t>C-Franki</t>
  </si>
  <si>
    <t>D-Escavada à Céu Aberto</t>
  </si>
  <si>
    <t>E-Injetada sob altas pressões</t>
  </si>
  <si>
    <t>NOMENCLATURA</t>
  </si>
  <si>
    <t>H-Escavada (bentonita)</t>
  </si>
  <si>
    <t>I-Injetada sob altas pressões</t>
  </si>
  <si>
    <t>Perímetro =</t>
  </si>
  <si>
    <t>Área =</t>
  </si>
  <si>
    <t>L (m) =</t>
  </si>
  <si>
    <t>RESULTADOS</t>
  </si>
  <si>
    <t>F-Pré-moldadas</t>
  </si>
  <si>
    <t>H-Franki</t>
  </si>
  <si>
    <t>G-Metálica</t>
  </si>
  <si>
    <t>ESCOLHA</t>
  </si>
  <si>
    <t>Aoki-Velloso (1975)</t>
  </si>
  <si>
    <t>aoki</t>
  </si>
  <si>
    <t>Texieira</t>
  </si>
  <si>
    <t>Aoki</t>
  </si>
  <si>
    <t>RT =</t>
  </si>
  <si>
    <t>rl  médio=</t>
  </si>
  <si>
    <t>considerado</t>
  </si>
  <si>
    <t>igual D-Escavada</t>
  </si>
  <si>
    <t>igual a F- HC</t>
  </si>
  <si>
    <t>igual a E-Raiz</t>
  </si>
  <si>
    <t>J-Strauss</t>
  </si>
  <si>
    <t>Hélice Contínua</t>
  </si>
  <si>
    <t>Escavada (bentonita)</t>
  </si>
  <si>
    <t>Injetada sob altas pressões</t>
  </si>
  <si>
    <t>Strauss</t>
  </si>
  <si>
    <t>[cm]</t>
  </si>
  <si>
    <t>Nspt_p</t>
  </si>
  <si>
    <t>Nspt_l</t>
  </si>
  <si>
    <t>Nspt_l =</t>
  </si>
  <si>
    <t>Nspt_p =</t>
  </si>
  <si>
    <r>
      <t>R</t>
    </r>
    <r>
      <rPr>
        <vertAlign val="subscript"/>
        <sz val="14"/>
        <color theme="1" tint="0.34998626667073579"/>
        <rFont val="Calibri"/>
        <family val="2"/>
        <scheme val="minor"/>
      </rPr>
      <t>p</t>
    </r>
    <r>
      <rPr>
        <sz val="14"/>
        <color theme="1" tint="0.34998626667073579"/>
        <rFont val="Calibri"/>
        <family val="2"/>
        <scheme val="minor"/>
      </rPr>
      <t xml:space="preserve"> = 0</t>
    </r>
  </si>
  <si>
    <r>
      <t>R</t>
    </r>
    <r>
      <rPr>
        <vertAlign val="subscript"/>
        <sz val="14"/>
        <color theme="1" tint="0.34998626667073579"/>
        <rFont val="Calibri"/>
        <family val="2"/>
        <scheme val="minor"/>
      </rPr>
      <t>p</t>
    </r>
    <r>
      <rPr>
        <sz val="14"/>
        <color theme="1" tint="0.34998626667073579"/>
        <rFont val="Calibri"/>
        <family val="2"/>
        <scheme val="minor"/>
      </rPr>
      <t xml:space="preserve"> &lt; R</t>
    </r>
    <r>
      <rPr>
        <sz val="8"/>
        <color theme="1" tint="0.34998626667073579"/>
        <rFont val="Calibri"/>
        <family val="2"/>
        <scheme val="minor"/>
      </rPr>
      <t>L</t>
    </r>
  </si>
  <si>
    <r>
      <t>R</t>
    </r>
    <r>
      <rPr>
        <vertAlign val="subscript"/>
        <sz val="14"/>
        <color theme="1" tint="0.34998626667073579"/>
        <rFont val="Calibri"/>
        <family val="2"/>
        <scheme val="minor"/>
      </rPr>
      <t>p</t>
    </r>
    <r>
      <rPr>
        <sz val="14"/>
        <color theme="1" tint="0.34998626667073579"/>
        <rFont val="Calibri"/>
        <family val="2"/>
        <scheme val="minor"/>
      </rPr>
      <t xml:space="preserve"> &gt; R</t>
    </r>
    <r>
      <rPr>
        <sz val="8"/>
        <color theme="1" tint="0.34998626667073579"/>
        <rFont val="Calibri"/>
        <family val="2"/>
        <scheme val="minor"/>
      </rPr>
      <t>L</t>
    </r>
  </si>
  <si>
    <t>Limpeza de Ponta</t>
  </si>
  <si>
    <r>
      <t>N</t>
    </r>
    <r>
      <rPr>
        <sz val="10"/>
        <rFont val="Calibri"/>
        <family val="2"/>
        <scheme val="minor"/>
      </rPr>
      <t>spt_p</t>
    </r>
    <r>
      <rPr>
        <sz val="14"/>
        <rFont val="Calibri"/>
        <family val="2"/>
        <scheme val="minor"/>
      </rPr>
      <t xml:space="preserve"> =</t>
    </r>
  </si>
  <si>
    <r>
      <t>N</t>
    </r>
    <r>
      <rPr>
        <sz val="10"/>
        <rFont val="Calibri"/>
        <family val="2"/>
        <scheme val="minor"/>
      </rPr>
      <t>spt_L</t>
    </r>
    <r>
      <rPr>
        <sz val="14"/>
        <rFont val="Calibri"/>
        <family val="2"/>
        <scheme val="minor"/>
      </rPr>
      <t xml:space="preserve"> =</t>
    </r>
  </si>
  <si>
    <r>
      <t>Area</t>
    </r>
    <r>
      <rPr>
        <sz val="11"/>
        <rFont val="Calibri"/>
        <family val="2"/>
        <scheme val="minor"/>
      </rPr>
      <t>_L =</t>
    </r>
  </si>
  <si>
    <r>
      <t>Area</t>
    </r>
    <r>
      <rPr>
        <sz val="11"/>
        <rFont val="Calibri"/>
        <family val="2"/>
        <scheme val="minor"/>
      </rPr>
      <t>_P =</t>
    </r>
  </si>
  <si>
    <r>
      <t>r</t>
    </r>
    <r>
      <rPr>
        <vertAlign val="subscript"/>
        <sz val="14"/>
        <rFont val="Calibri"/>
        <family val="2"/>
        <scheme val="minor"/>
      </rPr>
      <t>p</t>
    </r>
    <r>
      <rPr>
        <sz val="14"/>
        <rFont val="Calibri"/>
        <family val="2"/>
        <scheme val="minor"/>
      </rPr>
      <t xml:space="preserve"> =</t>
    </r>
  </si>
  <si>
    <r>
      <t>r</t>
    </r>
    <r>
      <rPr>
        <vertAlign val="subscript"/>
        <sz val="14"/>
        <rFont val="Calibri"/>
        <family val="2"/>
        <scheme val="minor"/>
      </rPr>
      <t>l</t>
    </r>
    <r>
      <rPr>
        <sz val="14"/>
        <rFont val="Calibri"/>
        <family val="2"/>
        <scheme val="minor"/>
      </rPr>
      <t xml:space="preserve"> =</t>
    </r>
  </si>
  <si>
    <r>
      <t>R</t>
    </r>
    <r>
      <rPr>
        <vertAlign val="subscript"/>
        <sz val="14"/>
        <rFont val="Calibri"/>
        <family val="2"/>
        <scheme val="minor"/>
      </rPr>
      <t>L</t>
    </r>
    <r>
      <rPr>
        <sz val="14"/>
        <rFont val="Calibri"/>
        <family val="2"/>
        <scheme val="minor"/>
      </rPr>
      <t xml:space="preserve"> =</t>
    </r>
  </si>
  <si>
    <r>
      <t>R</t>
    </r>
    <r>
      <rPr>
        <vertAlign val="subscript"/>
        <sz val="14"/>
        <rFont val="Calibri"/>
        <family val="2"/>
        <scheme val="minor"/>
      </rPr>
      <t>T</t>
    </r>
    <r>
      <rPr>
        <sz val="14"/>
        <rFont val="Calibri"/>
        <family val="2"/>
        <scheme val="minor"/>
      </rPr>
      <t xml:space="preserve"> =</t>
    </r>
  </si>
  <si>
    <r>
      <t>R</t>
    </r>
    <r>
      <rPr>
        <b/>
        <vertAlign val="subscript"/>
        <sz val="14"/>
        <rFont val="Calibri"/>
        <family val="2"/>
        <scheme val="minor"/>
      </rPr>
      <t>ADM</t>
    </r>
    <r>
      <rPr>
        <b/>
        <sz val="14"/>
        <rFont val="Calibri"/>
        <family val="2"/>
        <scheme val="minor"/>
      </rPr>
      <t xml:space="preserve"> =</t>
    </r>
  </si>
  <si>
    <r>
      <t>F.S.</t>
    </r>
    <r>
      <rPr>
        <sz val="10"/>
        <rFont val="Calibri"/>
        <family val="2"/>
        <scheme val="minor"/>
      </rPr>
      <t>global</t>
    </r>
    <r>
      <rPr>
        <sz val="14"/>
        <rFont val="Calibri"/>
        <family val="2"/>
        <scheme val="minor"/>
      </rPr>
      <t xml:space="preserve"> =</t>
    </r>
  </si>
  <si>
    <t>Jean R. Garcia - jean.garcia@ufu.br;   Felipe G. Ponciano - felipegpsilva080@gmail.com</t>
  </si>
  <si>
    <t>Momento Y</t>
  </si>
  <si>
    <t>INDIVIDUAL</t>
  </si>
  <si>
    <t>Cota arrasamento:</t>
  </si>
  <si>
    <t>Perímetro seção:</t>
  </si>
  <si>
    <t>Comprimento:</t>
  </si>
  <si>
    <t>Diâmetro:</t>
  </si>
  <si>
    <t>DUPLA</t>
  </si>
  <si>
    <t>Diametro</t>
  </si>
  <si>
    <t>Cota arrasamento</t>
  </si>
  <si>
    <t>Cota de ponta</t>
  </si>
  <si>
    <r>
      <t>R</t>
    </r>
    <r>
      <rPr>
        <b/>
        <vertAlign val="subscript"/>
        <sz val="14"/>
        <rFont val="Calibri"/>
        <family val="2"/>
        <scheme val="minor"/>
      </rPr>
      <t xml:space="preserve">ADM </t>
    </r>
    <r>
      <rPr>
        <b/>
        <sz val="14"/>
        <rFont val="Calibri"/>
        <family val="2"/>
        <scheme val="minor"/>
      </rPr>
      <t>=</t>
    </r>
  </si>
  <si>
    <t>Comprimento</t>
  </si>
  <si>
    <t xml:space="preserve">Recobrimento </t>
  </si>
  <si>
    <t>Espaçamento</t>
  </si>
  <si>
    <t>Largura</t>
  </si>
  <si>
    <t>TRIPLA</t>
  </si>
  <si>
    <t>QUADRUPLA</t>
  </si>
  <si>
    <t>Ângulo do Bloco</t>
  </si>
  <si>
    <r>
      <t xml:space="preserve">Ângulo </t>
    </r>
    <r>
      <rPr>
        <sz val="14"/>
        <rFont val="Calibri"/>
        <family val="2"/>
      </rPr>
      <t>θ</t>
    </r>
  </si>
  <si>
    <t>Carga max</t>
  </si>
  <si>
    <t>Carga mim</t>
  </si>
  <si>
    <t>Diâmetro</t>
  </si>
  <si>
    <t>Tensão</t>
  </si>
  <si>
    <t>CUSTO</t>
  </si>
  <si>
    <t xml:space="preserve">Perfuração </t>
  </si>
  <si>
    <t>Concreto</t>
  </si>
  <si>
    <t xml:space="preserve">Mobilização </t>
  </si>
  <si>
    <t>Media</t>
  </si>
  <si>
    <t>Teixeira (1996)</t>
  </si>
  <si>
    <t>Recalque</t>
  </si>
  <si>
    <t>Pi (m)</t>
  </si>
  <si>
    <t>Recal. Solo</t>
  </si>
  <si>
    <r>
      <rPr>
        <sz val="12"/>
        <color theme="1"/>
        <rFont val="Calibri"/>
        <family val="2"/>
      </rPr>
      <t>Ϭ</t>
    </r>
    <r>
      <rPr>
        <sz val="11"/>
        <color theme="1"/>
        <rFont val="Calibri"/>
        <family val="2"/>
        <scheme val="minor"/>
      </rPr>
      <t xml:space="preserve"> ponta</t>
    </r>
  </si>
  <si>
    <r>
      <rPr>
        <sz val="12"/>
        <color theme="1"/>
        <rFont val="Calibri"/>
        <family val="2"/>
      </rPr>
      <t>Ϭ</t>
    </r>
    <r>
      <rPr>
        <sz val="11"/>
        <color theme="1"/>
        <rFont val="Calibri"/>
        <family val="2"/>
        <scheme val="minor"/>
      </rPr>
      <t xml:space="preserve"> lateral</t>
    </r>
  </si>
  <si>
    <t>H (m)</t>
  </si>
  <si>
    <t>Rl (kN)</t>
  </si>
  <si>
    <t>Eo</t>
  </si>
  <si>
    <r>
      <rPr>
        <sz val="12"/>
        <color theme="1"/>
        <rFont val="Calibri"/>
        <family val="2"/>
      </rPr>
      <t>Ϭ</t>
    </r>
    <r>
      <rPr>
        <sz val="11"/>
        <color theme="1"/>
        <rFont val="Calibri"/>
        <family val="2"/>
        <scheme val="minor"/>
      </rPr>
      <t xml:space="preserve"> geost</t>
    </r>
  </si>
  <si>
    <r>
      <rPr>
        <sz val="14"/>
        <rFont val="Calibri"/>
        <family val="2"/>
        <scheme val="minor"/>
      </rPr>
      <t>ⴋ</t>
    </r>
    <r>
      <rPr>
        <sz val="11"/>
        <rFont val="Calibri"/>
        <family val="2"/>
        <scheme val="minor"/>
      </rPr>
      <t xml:space="preserve"> </t>
    </r>
    <r>
      <rPr>
        <sz val="11.2"/>
        <rFont val="Calibri"/>
        <family val="2"/>
      </rPr>
      <t>kN/m³</t>
    </r>
  </si>
  <si>
    <t>SOLO e ESTACA</t>
  </si>
  <si>
    <t>Nivel D'agua:</t>
  </si>
  <si>
    <t>Mod. Elasticidade Estaca</t>
  </si>
  <si>
    <t>Nivel D'agua =</t>
  </si>
  <si>
    <t>Peso Agua =</t>
  </si>
  <si>
    <t>Recal(mm)</t>
  </si>
  <si>
    <t>Recalque Estaca Simple</t>
  </si>
  <si>
    <t>K</t>
  </si>
  <si>
    <t>Recalque Estaca Dupla</t>
  </si>
  <si>
    <t>Recalque Estaca Tripla</t>
  </si>
  <si>
    <t>Recalque Estaca Quadrupla</t>
  </si>
  <si>
    <t>rl (kN)</t>
  </si>
  <si>
    <t>Expoe. n  (Mod. Deform.)</t>
  </si>
  <si>
    <r>
      <t>D</t>
    </r>
    <r>
      <rPr>
        <sz val="10"/>
        <color theme="1"/>
        <rFont val="Calibri"/>
        <family val="2"/>
        <scheme val="minor"/>
      </rPr>
      <t>eq (cm)</t>
    </r>
  </si>
  <si>
    <r>
      <t>A</t>
    </r>
    <r>
      <rPr>
        <sz val="10"/>
        <color theme="1"/>
        <rFont val="Calibri"/>
        <family val="2"/>
        <scheme val="minor"/>
      </rPr>
      <t>g (cm²)</t>
    </r>
  </si>
  <si>
    <t>Encurtamento</t>
  </si>
  <si>
    <t>α</t>
  </si>
  <si>
    <r>
      <rPr>
        <b/>
        <sz val="8"/>
        <color rgb="FF2B2A29"/>
        <rFont val="Arial"/>
        <family val="2"/>
      </rPr>
      <t>Tipo de estaca</t>
    </r>
  </si>
  <si>
    <r>
      <rPr>
        <b/>
        <sz val="8"/>
        <color rgb="FF2B2A29"/>
        <rFont val="Arial"/>
        <family val="2"/>
      </rPr>
      <t>Classe de agressividade ambiental (CAA) conforme  ABNT NBR 6118</t>
    </r>
  </si>
  <si>
    <r>
      <rPr>
        <b/>
        <sz val="8"/>
        <color rgb="FF2B2A29"/>
        <rFont val="Arial"/>
        <family val="2"/>
      </rPr>
      <t>Classe de concreto/ resistência característica da argamassa ou concreto</t>
    </r>
  </si>
  <si>
    <r>
      <rPr>
        <b/>
        <sz val="8"/>
        <color rgb="FF2B2A29"/>
        <rFont val="Arial"/>
        <family val="2"/>
      </rPr>
      <t>% de armadura mínima e comprimento útil mínimo (incluindo trecho de ligação com o bloco)</t>
    </r>
  </si>
  <si>
    <r>
      <rPr>
        <b/>
        <sz val="8"/>
        <color rgb="FF2B2A29"/>
        <rFont val="Arial"/>
        <family val="2"/>
      </rPr>
      <t>Anexo onde se encontram definidos concreto/ argamassa</t>
    </r>
  </si>
  <si>
    <t>Tabela 4 – Estacas moldadas in loco e tubulões: parâmetros para dimensionamento</t>
  </si>
  <si>
    <r>
      <rPr>
        <vertAlign val="superscript"/>
        <sz val="10"/>
        <color rgb="FF2B2A29"/>
        <rFont val="Arial MT"/>
      </rPr>
      <t>a</t>
    </r>
    <r>
      <rPr>
        <vertAlign val="superscript"/>
        <sz val="10"/>
        <color rgb="FF2B2A29"/>
        <rFont val="Arial MT"/>
        <family val="2"/>
      </rPr>
      <t xml:space="preserve">        </t>
    </r>
    <r>
      <rPr>
        <sz val="10"/>
        <color rgb="FF2B2A29"/>
        <rFont val="Arial MT"/>
        <family val="2"/>
      </rPr>
      <t xml:space="preserve">Nestas estacas, o comprimento máximo da armadura é limitado devido ao processo executivo.
</t>
    </r>
    <r>
      <rPr>
        <vertAlign val="superscript"/>
        <sz val="10"/>
        <color rgb="FF2B2A29"/>
        <rFont val="Arial MT"/>
      </rPr>
      <t>b</t>
    </r>
    <r>
      <rPr>
        <vertAlign val="superscript"/>
        <sz val="10"/>
        <color rgb="FF2B2A29"/>
        <rFont val="Arial MT"/>
        <family val="2"/>
      </rPr>
      <t xml:space="preserve">        </t>
    </r>
    <r>
      <rPr>
        <sz val="10"/>
        <color rgb="FF2B2A29"/>
        <rFont val="Arial MT"/>
        <family val="2"/>
      </rPr>
      <t xml:space="preserve">Neste tipo de estaca, o diâmetro a ser considerado no dimensionamento é o diâmetro externo do revestimento.
</t>
    </r>
    <r>
      <rPr>
        <vertAlign val="superscript"/>
        <sz val="10"/>
        <color rgb="FF2B2A29"/>
        <rFont val="Arial MT"/>
      </rPr>
      <t>c</t>
    </r>
    <r>
      <rPr>
        <vertAlign val="superscript"/>
        <sz val="10"/>
        <color rgb="FF2B2A29"/>
        <rFont val="Arial MT"/>
        <family val="2"/>
      </rPr>
      <t xml:space="preserve">        </t>
    </r>
    <r>
      <rPr>
        <sz val="10"/>
        <color rgb="FF2B2A29"/>
        <rFont val="Arial MT"/>
        <family val="2"/>
      </rPr>
      <t xml:space="preserve">O espaçamento entre face de barras deve ser de um diâmetro da barra e no mínimo 20 mm. As taxas máximas de armadura são de 8 % </t>
    </r>
    <r>
      <rPr>
        <i/>
        <sz val="10"/>
        <color rgb="FF2B2A29"/>
        <rFont val="Arial"/>
        <family val="2"/>
      </rPr>
      <t>A</t>
    </r>
    <r>
      <rPr>
        <vertAlign val="subscript"/>
        <sz val="10"/>
        <color rgb="FF2B2A29"/>
        <rFont val="Arial MT"/>
        <family val="2"/>
      </rPr>
      <t xml:space="preserve">c  </t>
    </r>
    <r>
      <rPr>
        <sz val="10"/>
        <color rgb="FF2B2A29"/>
        <rFont val="Arial MT"/>
        <family val="2"/>
      </rPr>
      <t xml:space="preserve">para diâmetros menores ou iguais a 310, e de 6 % </t>
    </r>
    <r>
      <rPr>
        <i/>
        <sz val="10"/>
        <color rgb="FF2B2A29"/>
        <rFont val="Arial"/>
        <family val="2"/>
      </rPr>
      <t>A</t>
    </r>
    <r>
      <rPr>
        <vertAlign val="subscript"/>
        <sz val="10"/>
        <color rgb="FF2B2A29"/>
        <rFont val="Arial MT"/>
        <family val="2"/>
      </rPr>
      <t xml:space="preserve">c </t>
    </r>
    <r>
      <rPr>
        <sz val="10"/>
        <color rgb="FF2B2A29"/>
        <rFont val="Arial MT"/>
        <family val="2"/>
      </rPr>
      <t>para diâmetros iguais ou superiores a 400 mm. As taxas máximas devem ser verificadas na seção de maior concentração de aço (considerando inclusive as emendas por transpasse). Em situações críticas, o dimensionamento pode ser feito em função da área de aço (</t>
    </r>
    <r>
      <rPr>
        <i/>
        <sz val="10"/>
        <color rgb="FF2B2A29"/>
        <rFont val="Arial"/>
        <family val="2"/>
      </rPr>
      <t>f</t>
    </r>
    <r>
      <rPr>
        <vertAlign val="subscript"/>
        <sz val="10"/>
        <color rgb="FF2B2A29"/>
        <rFont val="Arial MT"/>
        <family val="2"/>
      </rPr>
      <t xml:space="preserve">yk </t>
    </r>
    <r>
      <rPr>
        <sz val="10"/>
        <color rgb="FF2B2A29"/>
        <rFont val="Arial MT"/>
        <family val="2"/>
      </rPr>
      <t xml:space="preserve">≥ 500 MPa; </t>
    </r>
    <r>
      <rPr>
        <i/>
        <sz val="10"/>
        <color rgb="FF2B2A29"/>
        <rFont val="Arial"/>
        <family val="2"/>
      </rPr>
      <t>A</t>
    </r>
    <r>
      <rPr>
        <vertAlign val="subscript"/>
        <sz val="10"/>
        <color rgb="FF2B2A29"/>
        <rFont val="Arial MT"/>
        <family val="2"/>
      </rPr>
      <t xml:space="preserve">s </t>
    </r>
    <r>
      <rPr>
        <sz val="10"/>
        <color rgb="FF2B2A29"/>
        <rFont val="Symbol"/>
        <family val="5"/>
      </rPr>
      <t></t>
    </r>
    <r>
      <rPr>
        <sz val="10"/>
        <color rgb="FF2B2A29"/>
        <rFont val="Times New Roman"/>
        <family val="1"/>
      </rPr>
      <t xml:space="preserve"> </t>
    </r>
    <r>
      <rPr>
        <sz val="10"/>
        <color rgb="FF2B2A29"/>
        <rFont val="Arial MT"/>
        <family val="2"/>
      </rPr>
      <t xml:space="preserve">área de aço), conforme a seguir:
—       quando </t>
    </r>
    <r>
      <rPr>
        <i/>
        <sz val="10"/>
        <color rgb="FF2B2A29"/>
        <rFont val="Arial"/>
        <family val="2"/>
      </rPr>
      <t>A</t>
    </r>
    <r>
      <rPr>
        <vertAlign val="subscript"/>
        <sz val="10"/>
        <color rgb="FF2B2A29"/>
        <rFont val="Arial MT"/>
        <family val="2"/>
      </rPr>
      <t xml:space="preserve">s </t>
    </r>
    <r>
      <rPr>
        <sz val="10"/>
        <color rgb="FF2B2A29"/>
        <rFont val="Arial MT"/>
        <family val="2"/>
      </rPr>
      <t xml:space="preserve">≤ 6 % </t>
    </r>
    <r>
      <rPr>
        <i/>
        <sz val="10"/>
        <color rgb="FF2B2A29"/>
        <rFont val="Arial"/>
        <family val="2"/>
      </rPr>
      <t>A</t>
    </r>
    <r>
      <rPr>
        <vertAlign val="subscript"/>
        <sz val="10"/>
        <color rgb="FF2B2A29"/>
        <rFont val="Arial MT"/>
        <family val="2"/>
      </rPr>
      <t>c</t>
    </r>
    <r>
      <rPr>
        <sz val="10"/>
        <color rgb="FF2B2A29"/>
        <rFont val="Arial MT"/>
        <family val="2"/>
      </rPr>
      <t xml:space="preserve">, o dimensionamento deve ser feito considerando a estaca trabalhando como pilar de concreto (a resistência da estaca é formada pela parcela do concreto e pela parcela do aço);
—       quando </t>
    </r>
    <r>
      <rPr>
        <i/>
        <sz val="10"/>
        <color rgb="FF2B2A29"/>
        <rFont val="Arial"/>
        <family val="2"/>
      </rPr>
      <t>A</t>
    </r>
    <r>
      <rPr>
        <vertAlign val="subscript"/>
        <sz val="10"/>
        <color rgb="FF2B2A29"/>
        <rFont val="Arial MT"/>
        <family val="2"/>
      </rPr>
      <t xml:space="preserve">s </t>
    </r>
    <r>
      <rPr>
        <sz val="10"/>
        <color rgb="FF2B2A29"/>
        <rFont val="Arial MT"/>
        <family val="2"/>
      </rPr>
      <t xml:space="preserve">≥ 6 % </t>
    </r>
    <r>
      <rPr>
        <i/>
        <sz val="10"/>
        <color rgb="FF2B2A29"/>
        <rFont val="Arial"/>
        <family val="2"/>
      </rPr>
      <t>A</t>
    </r>
    <r>
      <rPr>
        <i/>
        <vertAlign val="subscript"/>
        <sz val="10"/>
        <color rgb="FF2B2A29"/>
        <rFont val="Arial"/>
        <family val="2"/>
      </rPr>
      <t>c</t>
    </r>
    <r>
      <rPr>
        <sz val="10"/>
        <color rgb="FF2B2A29"/>
        <rFont val="Arial MT"/>
        <family val="2"/>
      </rPr>
      <t xml:space="preserve">, o dimensionamento deve ser feito considerando que todo o esforço solicitante deve ser resistido apenas pelo aço da seção da estaca (a parcela resistente do concreto é desprezada).
</t>
    </r>
    <r>
      <rPr>
        <vertAlign val="superscript"/>
        <sz val="10"/>
        <color rgb="FF2B2A29"/>
        <rFont val="Arial MT"/>
      </rPr>
      <t>d</t>
    </r>
    <r>
      <rPr>
        <vertAlign val="superscript"/>
        <sz val="10"/>
        <color rgb="FF2B2A29"/>
        <rFont val="Arial MT"/>
        <family val="2"/>
      </rPr>
      <t xml:space="preserve">        </t>
    </r>
    <r>
      <rPr>
        <sz val="10"/>
        <color rgb="FF2B2A29"/>
        <rFont val="Arial MT"/>
        <family val="2"/>
      </rPr>
      <t xml:space="preserve">Argamassa.
</t>
    </r>
    <r>
      <rPr>
        <vertAlign val="superscript"/>
        <sz val="10"/>
        <color rgb="FF2B2A29"/>
        <rFont val="Arial MT"/>
      </rPr>
      <t>e</t>
    </r>
    <r>
      <rPr>
        <vertAlign val="superscript"/>
        <sz val="10"/>
        <color rgb="FF2B2A29"/>
        <rFont val="Arial MT"/>
        <family val="2"/>
      </rPr>
      <t xml:space="preserve">        </t>
    </r>
    <r>
      <rPr>
        <sz val="10"/>
        <color rgb="FF2B2A29"/>
        <rFont val="Arial MT"/>
        <family val="2"/>
      </rPr>
      <t>Calda de cimento.</t>
    </r>
  </si>
  <si>
    <t>(a)</t>
  </si>
  <si>
    <t xml:space="preserve">F-Hélice Contínua </t>
  </si>
  <si>
    <t>(b)</t>
  </si>
  <si>
    <r>
      <rPr>
        <b/>
        <i/>
        <sz val="11"/>
        <color rgb="FF2B2A29"/>
        <rFont val="Arial"/>
        <family val="2"/>
      </rPr>
      <t>γ</t>
    </r>
    <r>
      <rPr>
        <vertAlign val="subscript"/>
        <sz val="11"/>
        <color rgb="FF2B2A29"/>
        <rFont val="Arial"/>
        <family val="2"/>
      </rPr>
      <t>c</t>
    </r>
  </si>
  <si>
    <r>
      <rPr>
        <b/>
        <sz val="8"/>
        <color rgb="FF2B2A29"/>
        <rFont val="Arial"/>
        <family val="2"/>
      </rPr>
      <t xml:space="preserve">Tensão de compressão simples atuante abaixo da qual não é necessário armar (exceto ligação com o bloco)
</t>
    </r>
    <r>
      <rPr>
        <sz val="8"/>
        <color rgb="FF2B2A29"/>
        <rFont val="Arial"/>
        <family val="2"/>
      </rPr>
      <t>MPa</t>
    </r>
  </si>
  <si>
    <r>
      <rPr>
        <b/>
        <sz val="8"/>
        <color rgb="FF2B2A29"/>
        <rFont val="Arial"/>
        <family val="2"/>
      </rPr>
      <t xml:space="preserve">Armadura
</t>
    </r>
    <r>
      <rPr>
        <sz val="8"/>
        <color rgb="FF2B2A29"/>
        <rFont val="Arial"/>
        <family val="2"/>
      </rPr>
      <t>%</t>
    </r>
  </si>
  <si>
    <r>
      <rPr>
        <b/>
        <sz val="8"/>
        <color rgb="FF2B2A29"/>
        <rFont val="Arial"/>
        <family val="2"/>
      </rPr>
      <t xml:space="preserve">Comprimento
</t>
    </r>
    <r>
      <rPr>
        <sz val="8"/>
        <color rgb="FF2B2A29"/>
        <rFont val="Arial"/>
        <family val="2"/>
      </rPr>
      <t>m</t>
    </r>
  </si>
  <si>
    <r>
      <rPr>
        <sz val="8"/>
        <color rgb="FF2B2A29"/>
        <rFont val="Arial"/>
        <family val="2"/>
      </rPr>
      <t>I, II</t>
    </r>
  </si>
  <si>
    <r>
      <rPr>
        <sz val="8"/>
        <color rgb="FF2B2A29"/>
        <rFont val="Arial"/>
        <family val="2"/>
      </rPr>
      <t>C30</t>
    </r>
  </si>
  <si>
    <r>
      <rPr>
        <sz val="8"/>
        <color rgb="FF2B2A29"/>
        <rFont val="Arial"/>
        <family val="2"/>
      </rPr>
      <t>N / O / P</t>
    </r>
  </si>
  <si>
    <r>
      <rPr>
        <sz val="8"/>
        <color rgb="FF2B2A29"/>
        <rFont val="Arial"/>
        <family val="2"/>
      </rPr>
      <t>III, IV</t>
    </r>
  </si>
  <si>
    <r>
      <rPr>
        <sz val="8"/>
        <color rgb="FF2B2A29"/>
        <rFont val="Arial"/>
        <family val="2"/>
      </rPr>
      <t>C40</t>
    </r>
  </si>
  <si>
    <r>
      <rPr>
        <sz val="8"/>
        <color rgb="FF2B2A29"/>
        <rFont val="Arial"/>
        <family val="2"/>
      </rPr>
      <t>C25</t>
    </r>
  </si>
  <si>
    <r>
      <rPr>
        <sz val="8"/>
        <color rgb="FF2B2A29"/>
        <rFont val="Arial"/>
        <family val="2"/>
      </rPr>
      <t>I</t>
    </r>
  </si>
  <si>
    <r>
      <rPr>
        <sz val="8"/>
        <color rgb="FF2B2A29"/>
        <rFont val="Arial"/>
        <family val="2"/>
      </rPr>
      <t>J</t>
    </r>
  </si>
  <si>
    <r>
      <rPr>
        <sz val="8"/>
        <color rgb="FF2B2A29"/>
        <rFont val="Arial"/>
        <family val="2"/>
      </rPr>
      <t>20 MPa</t>
    </r>
  </si>
  <si>
    <r>
      <rPr>
        <sz val="8"/>
        <color rgb="FF2B2A29"/>
        <rFont val="Arial"/>
        <family val="2"/>
      </rPr>
      <t>G</t>
    </r>
  </si>
  <si>
    <r>
      <rPr>
        <sz val="8"/>
        <color rgb="FF2B2A29"/>
        <rFont val="Arial"/>
        <family val="2"/>
      </rPr>
      <t>I, II, III, IV</t>
    </r>
  </si>
  <si>
    <r>
      <rPr>
        <sz val="8"/>
        <color rgb="FF2B2A29"/>
        <rFont val="Arial"/>
        <family val="2"/>
      </rPr>
      <t>Integral</t>
    </r>
  </si>
  <si>
    <r>
      <rPr>
        <sz val="8"/>
        <color rgb="FF2B2A29"/>
        <rFont val="Arial"/>
        <family val="2"/>
      </rPr>
      <t>–</t>
    </r>
  </si>
  <si>
    <r>
      <rPr>
        <sz val="8"/>
        <color rgb="FF2B2A29"/>
        <rFont val="Arial"/>
        <family val="2"/>
      </rPr>
      <t>H</t>
    </r>
  </si>
  <si>
    <r>
      <rPr>
        <sz val="8"/>
        <color rgb="FF2B2A29"/>
        <rFont val="Arial"/>
        <family val="2"/>
      </rPr>
      <t>Tubulões não
encamisados</t>
    </r>
  </si>
  <si>
    <r>
      <rPr>
        <sz val="8"/>
        <color rgb="FF2B2A29"/>
        <rFont val="Arial"/>
        <family val="2"/>
      </rPr>
      <t>B</t>
    </r>
  </si>
  <si>
    <r>
      <rPr>
        <sz val="8"/>
        <color rgb="FF2B2A29"/>
        <rFont val="Arial"/>
        <family val="2"/>
      </rPr>
      <t>K</t>
    </r>
  </si>
  <si>
    <r>
      <rPr>
        <sz val="8"/>
        <color rgb="FF2B2A29"/>
        <rFont val="Arial"/>
        <family val="2"/>
      </rPr>
      <t>M</t>
    </r>
  </si>
  <si>
    <r>
      <rPr>
        <sz val="8"/>
        <color rgb="FF2B2A29"/>
        <rFont val="Arial"/>
        <family val="2"/>
      </rPr>
      <t>L</t>
    </r>
  </si>
  <si>
    <t>(b,c,d)</t>
  </si>
  <si>
    <t>(b,c,e)</t>
  </si>
  <si>
    <t>(a,d)</t>
  </si>
  <si>
    <t>Estaca trado vazado
segmentado</t>
  </si>
  <si>
    <t>Microestacas</t>
  </si>
  <si>
    <r>
      <t>f</t>
    </r>
    <r>
      <rPr>
        <sz val="11"/>
        <rFont val="Calibri"/>
        <family val="2"/>
        <scheme val="minor"/>
      </rPr>
      <t>ck</t>
    </r>
    <r>
      <rPr>
        <sz val="14"/>
        <rFont val="Calibri"/>
        <family val="2"/>
        <scheme val="minor"/>
      </rPr>
      <t xml:space="preserve"> concreto</t>
    </r>
  </si>
  <si>
    <t>Agressividade ambiental</t>
  </si>
  <si>
    <t>SOLICITAÇÃO CARACTERÍSTICAS (Sk)</t>
  </si>
  <si>
    <t>Sobrecarga (bloco)</t>
  </si>
  <si>
    <r>
      <rPr>
        <b/>
        <sz val="16"/>
        <color theme="0"/>
        <rFont val="Calibri"/>
        <family val="2"/>
      </rPr>
      <t>γ</t>
    </r>
    <r>
      <rPr>
        <b/>
        <sz val="14"/>
        <color theme="0"/>
        <rFont val="Calibri"/>
        <family val="2"/>
      </rPr>
      <t xml:space="preserve"> </t>
    </r>
    <r>
      <rPr>
        <b/>
        <sz val="11.2"/>
        <color theme="0"/>
        <rFont val="Calibri"/>
        <family val="2"/>
      </rPr>
      <t>kN/m³</t>
    </r>
  </si>
  <si>
    <t>Área minima aço</t>
  </si>
  <si>
    <t>Volume unitário</t>
  </si>
  <si>
    <t>QUINTUPLA</t>
  </si>
  <si>
    <t>II</t>
  </si>
  <si>
    <t>Cota de arrasamento</t>
  </si>
  <si>
    <t>N° de estacas</t>
  </si>
  <si>
    <t>Efic. do grupo</t>
  </si>
  <si>
    <r>
      <t>R</t>
    </r>
    <r>
      <rPr>
        <vertAlign val="subscript"/>
        <sz val="14"/>
        <rFont val="Calibri"/>
        <family val="2"/>
        <scheme val="minor"/>
      </rPr>
      <t>L</t>
    </r>
    <r>
      <rPr>
        <sz val="14"/>
        <rFont val="Calibri"/>
        <family val="2"/>
        <scheme val="minor"/>
      </rPr>
      <t xml:space="preserve"> </t>
    </r>
  </si>
  <si>
    <r>
      <t>R</t>
    </r>
    <r>
      <rPr>
        <vertAlign val="subscript"/>
        <sz val="14"/>
        <rFont val="Calibri"/>
        <family val="2"/>
        <scheme val="minor"/>
      </rPr>
      <t>T</t>
    </r>
    <r>
      <rPr>
        <sz val="14"/>
        <rFont val="Calibri"/>
        <family val="2"/>
        <scheme val="minor"/>
      </rPr>
      <t xml:space="preserve"> </t>
    </r>
  </si>
  <si>
    <r>
      <t>R</t>
    </r>
    <r>
      <rPr>
        <vertAlign val="subscript"/>
        <sz val="14"/>
        <rFont val="Calibri"/>
        <family val="2"/>
        <scheme val="minor"/>
      </rPr>
      <t>p</t>
    </r>
    <r>
      <rPr>
        <sz val="14"/>
        <rFont val="Calibri"/>
        <family val="2"/>
        <scheme val="minor"/>
      </rPr>
      <t xml:space="preserve"> </t>
    </r>
  </si>
  <si>
    <t>BLOCO DE COROAMENTO</t>
  </si>
  <si>
    <t>RECALQUE</t>
  </si>
  <si>
    <t>ARMADURA</t>
  </si>
  <si>
    <t>Volume concreto</t>
  </si>
  <si>
    <t>Peso de aço</t>
  </si>
  <si>
    <t>Custo concreto</t>
  </si>
  <si>
    <t>Custo de aço</t>
  </si>
  <si>
    <t>Custo total</t>
  </si>
  <si>
    <t>Mobilização</t>
  </si>
  <si>
    <t>Perfuração</t>
  </si>
  <si>
    <t>Custo prefuração</t>
  </si>
  <si>
    <t>CONSIDERAÇÕES DO SOLO</t>
  </si>
  <si>
    <t>Reação Aterro:</t>
  </si>
  <si>
    <t>Aterro</t>
  </si>
  <si>
    <t>Colapsível</t>
  </si>
  <si>
    <t>Área mínima</t>
  </si>
  <si>
    <t>Nível D'agua</t>
  </si>
  <si>
    <t>Eficiência</t>
  </si>
  <si>
    <t>Positiva</t>
  </si>
  <si>
    <t>CARACTERÍSTICAS DA ESTACA</t>
  </si>
  <si>
    <t>GRUPO DE ESTACAS</t>
  </si>
  <si>
    <t>&lt;&lt; escolha</t>
  </si>
  <si>
    <t>Carga Minima</t>
  </si>
  <si>
    <t>Carga Maxima</t>
  </si>
  <si>
    <t>Recalque Usuario</t>
  </si>
  <si>
    <t>Recalque Estaca Quintupla</t>
  </si>
  <si>
    <t>Custo</t>
  </si>
  <si>
    <r>
      <t xml:space="preserve">Tabela de </t>
    </r>
    <r>
      <rPr>
        <sz val="11"/>
        <color rgb="FFFF0000"/>
        <rFont val="Calibri"/>
        <family val="2"/>
        <scheme val="minor"/>
      </rPr>
      <t>preços</t>
    </r>
    <r>
      <rPr>
        <sz val="11"/>
        <color theme="1"/>
        <rFont val="Calibri"/>
        <family val="2"/>
        <scheme val="minor"/>
      </rPr>
      <t xml:space="preserve"> de perfuração </t>
    </r>
    <r>
      <rPr>
        <sz val="11"/>
        <color rgb="FFFF0000"/>
        <rFont val="Calibri"/>
        <family val="2"/>
        <scheme val="minor"/>
      </rPr>
      <t>Sondatec</t>
    </r>
  </si>
  <si>
    <t>CUSTO ADOTADOS</t>
  </si>
  <si>
    <t>CUSTO DE PERFURAÇÃO SUGERIDOS</t>
  </si>
  <si>
    <t>MEMORIAL DE CALCULO</t>
  </si>
  <si>
    <t>CONCRETO</t>
  </si>
  <si>
    <t>Peso especifico</t>
  </si>
  <si>
    <t>Mod. Elasticidade</t>
  </si>
  <si>
    <t>fck</t>
  </si>
  <si>
    <t>AÇO</t>
  </si>
  <si>
    <t>Tensão minima para armação</t>
  </si>
  <si>
    <t>Comp. Ancoragem</t>
  </si>
  <si>
    <t>Comprimento de ancoragem</t>
  </si>
  <si>
    <t>Classe</t>
  </si>
  <si>
    <t>Porcent. mínima de aço</t>
  </si>
  <si>
    <t>Porcentagem minima da seção</t>
  </si>
  <si>
    <t>Momento em  X</t>
  </si>
  <si>
    <t>Momento em Y</t>
  </si>
  <si>
    <t>Momento em X</t>
  </si>
  <si>
    <t>Preço do aço</t>
  </si>
  <si>
    <t>SONDAGEM</t>
  </si>
  <si>
    <t>CUSTOS ADOTADOS</t>
  </si>
  <si>
    <t>Aço</t>
  </si>
  <si>
    <t xml:space="preserve">Carga maxima </t>
  </si>
  <si>
    <t>Numero de estacas</t>
  </si>
  <si>
    <t xml:space="preserve">Eficiencia do grupo </t>
  </si>
  <si>
    <t>Metodologia de calculo</t>
  </si>
  <si>
    <t>Arrasamento</t>
  </si>
  <si>
    <t>Espaçamento minimo</t>
  </si>
  <si>
    <t>Comprimento total</t>
  </si>
  <si>
    <t>Largura total</t>
  </si>
  <si>
    <t>Recobrimento</t>
  </si>
  <si>
    <t>Cintra &amp; Aoki (2010)</t>
  </si>
  <si>
    <t>Expoente  n  (Mod. Deform.)</t>
  </si>
  <si>
    <t>Recalque do solo</t>
  </si>
  <si>
    <t xml:space="preserve">    </t>
  </si>
  <si>
    <t>Tensão de armação mínima</t>
  </si>
  <si>
    <t>Ângulo de aplicação (θ)</t>
  </si>
  <si>
    <r>
      <t xml:space="preserve">Coef. K e razão de atrito </t>
    </r>
    <r>
      <rPr>
        <sz val="11"/>
        <color theme="1"/>
        <rFont val="Symbol"/>
        <family val="1"/>
        <charset val="2"/>
      </rPr>
      <t>a</t>
    </r>
  </si>
  <si>
    <t>Décourt-Quaresma (1996)</t>
  </si>
  <si>
    <t>Decourt</t>
  </si>
  <si>
    <r>
      <t>a (</t>
    </r>
    <r>
      <rPr>
        <sz val="11"/>
        <color theme="1"/>
        <rFont val="Callibri"/>
      </rPr>
      <t>KPa</t>
    </r>
    <r>
      <rPr>
        <sz val="11"/>
        <color theme="1"/>
        <rFont val="Symbol"/>
        <family val="1"/>
        <charset val="2"/>
      </rPr>
      <t>)</t>
    </r>
  </si>
  <si>
    <t>Solos gerais</t>
  </si>
  <si>
    <t>Argila</t>
  </si>
  <si>
    <t>Solos Inter.</t>
  </si>
  <si>
    <t>Areia</t>
  </si>
  <si>
    <t>Décourt-Quaresma</t>
  </si>
  <si>
    <r>
      <t xml:space="preserve">b </t>
    </r>
    <r>
      <rPr>
        <sz val="11"/>
        <color theme="1"/>
        <rFont val="Calibri"/>
        <family val="2"/>
        <scheme val="minor"/>
      </rPr>
      <t>(KPa) - Teixeira</t>
    </r>
  </si>
  <si>
    <t>Carga minima</t>
  </si>
  <si>
    <t xml:space="preserve">CÁLCULO CAPACIDADE DO GRUPO </t>
  </si>
  <si>
    <r>
      <t>R</t>
    </r>
    <r>
      <rPr>
        <vertAlign val="subscript"/>
        <sz val="14"/>
        <color rgb="FF000000"/>
        <rFont val="Calibri"/>
        <family val="2"/>
        <scheme val="minor"/>
      </rPr>
      <t>p</t>
    </r>
    <r>
      <rPr>
        <sz val="14"/>
        <color rgb="FF000000"/>
        <rFont val="Calibri"/>
        <family val="2"/>
        <scheme val="minor"/>
      </rPr>
      <t xml:space="preserve"> =</t>
    </r>
  </si>
  <si>
    <t>Reação Colapsivel:</t>
  </si>
  <si>
    <t>ESTACA:</t>
  </si>
  <si>
    <t>Negativa</t>
  </si>
  <si>
    <t>E (Mpa)</t>
  </si>
  <si>
    <t>OPÇÕES ADICIONAIS</t>
  </si>
  <si>
    <t>Tabela XX - Tipos de solos</t>
  </si>
  <si>
    <t>Média dos métodos</t>
  </si>
  <si>
    <r>
      <t xml:space="preserve">Tabela </t>
    </r>
    <r>
      <rPr>
        <sz val="16"/>
        <color rgb="FFFF0000"/>
        <rFont val="Calibri"/>
        <family val="2"/>
        <scheme val="minor"/>
      </rPr>
      <t>XX</t>
    </r>
    <r>
      <rPr>
        <sz val="16"/>
        <rFont val="Calibri"/>
        <family val="2"/>
        <scheme val="minor"/>
      </rPr>
      <t xml:space="preserve"> – Geometria e tipos de estacas</t>
    </r>
  </si>
  <si>
    <t>Dados do Solo</t>
  </si>
  <si>
    <t>Diâmetros</t>
  </si>
  <si>
    <t>Ângulo θ</t>
  </si>
  <si>
    <t>Tabela XX - Blocos de estacas</t>
  </si>
  <si>
    <r>
      <t>R</t>
    </r>
    <r>
      <rPr>
        <b/>
        <vertAlign val="subscript"/>
        <sz val="12"/>
        <rFont val="Times New Roman"/>
        <family val="1"/>
      </rPr>
      <t xml:space="preserve">ATUANTE </t>
    </r>
    <r>
      <rPr>
        <b/>
        <sz val="12"/>
        <rFont val="Times New Roman"/>
        <family val="1"/>
      </rPr>
      <t>=</t>
    </r>
  </si>
  <si>
    <r>
      <t>R</t>
    </r>
    <r>
      <rPr>
        <b/>
        <vertAlign val="subscript"/>
        <sz val="12"/>
        <rFont val="Times New Roman"/>
        <family val="1"/>
      </rPr>
      <t xml:space="preserve">ADM </t>
    </r>
    <r>
      <rPr>
        <b/>
        <sz val="12"/>
        <rFont val="Times New Roman"/>
        <family val="1"/>
      </rPr>
      <t>=</t>
    </r>
  </si>
  <si>
    <t>0°</t>
  </si>
  <si>
    <t>Fabricante</t>
  </si>
  <si>
    <t>Tabela XX - Bloco resistente</t>
  </si>
  <si>
    <r>
      <t>R</t>
    </r>
    <r>
      <rPr>
        <b/>
        <vertAlign val="subscript"/>
        <sz val="12"/>
        <rFont val="Times New Roman"/>
        <family val="1"/>
      </rPr>
      <t xml:space="preserve">ATUANTE </t>
    </r>
  </si>
  <si>
    <r>
      <t>R</t>
    </r>
    <r>
      <rPr>
        <vertAlign val="subscript"/>
        <sz val="12"/>
        <rFont val="Times New Roman"/>
        <family val="1"/>
      </rPr>
      <t>p</t>
    </r>
    <r>
      <rPr>
        <sz val="12"/>
        <rFont val="Times New Roman"/>
        <family val="1"/>
      </rPr>
      <t xml:space="preserve"> </t>
    </r>
  </si>
  <si>
    <r>
      <t>R</t>
    </r>
    <r>
      <rPr>
        <vertAlign val="subscript"/>
        <sz val="12"/>
        <rFont val="Times New Roman"/>
        <family val="1"/>
      </rPr>
      <t>L</t>
    </r>
    <r>
      <rPr>
        <sz val="12"/>
        <rFont val="Times New Roman"/>
        <family val="1"/>
      </rPr>
      <t xml:space="preserve"> </t>
    </r>
  </si>
  <si>
    <r>
      <t>R</t>
    </r>
    <r>
      <rPr>
        <vertAlign val="subscript"/>
        <sz val="12"/>
        <rFont val="Times New Roman"/>
        <family val="1"/>
      </rPr>
      <t>T</t>
    </r>
    <r>
      <rPr>
        <sz val="12"/>
        <rFont val="Times New Roman"/>
        <family val="1"/>
      </rPr>
      <t xml:space="preserve"> </t>
    </r>
  </si>
  <si>
    <r>
      <t>R</t>
    </r>
    <r>
      <rPr>
        <b/>
        <vertAlign val="subscript"/>
        <sz val="12"/>
        <rFont val="Times New Roman"/>
        <family val="1"/>
      </rPr>
      <t xml:space="preserve">ADM </t>
    </r>
  </si>
  <si>
    <t>Produtividade</t>
  </si>
  <si>
    <t xml:space="preserve"> </t>
  </si>
  <si>
    <t>diametros</t>
  </si>
  <si>
    <t>m³ / m</t>
  </si>
  <si>
    <t>Custo horario</t>
  </si>
  <si>
    <t>tempo</t>
  </si>
  <si>
    <t>Custo / m</t>
  </si>
  <si>
    <r>
      <t xml:space="preserve">Tabela de </t>
    </r>
    <r>
      <rPr>
        <sz val="11"/>
        <rFont val="Calibri"/>
        <family val="2"/>
        <scheme val="minor"/>
      </rPr>
      <t>preços</t>
    </r>
    <r>
      <rPr>
        <sz val="11"/>
        <color theme="1"/>
        <rFont val="Calibri"/>
        <family val="2"/>
        <scheme val="minor"/>
      </rPr>
      <t xml:space="preserve"> de perfuração </t>
    </r>
    <r>
      <rPr>
        <sz val="11"/>
        <color rgb="FFFF0000"/>
        <rFont val="Calibri"/>
        <family val="2"/>
        <scheme val="minor"/>
      </rPr>
      <t>Sondatec</t>
    </r>
    <r>
      <rPr>
        <sz val="11"/>
        <color theme="1"/>
        <rFont val="Calibri"/>
        <family val="2"/>
        <scheme val="minor"/>
      </rPr>
      <t xml:space="preserve"> / </t>
    </r>
    <r>
      <rPr>
        <sz val="11"/>
        <color rgb="FF0070C0"/>
        <rFont val="Calibri"/>
        <family val="2"/>
        <scheme val="minor"/>
      </rPr>
      <t>SICRO</t>
    </r>
    <r>
      <rPr>
        <sz val="11"/>
        <color theme="1"/>
        <rFont val="Calibri"/>
        <family val="2"/>
        <scheme val="minor"/>
      </rPr>
      <t xml:space="preserve"> / </t>
    </r>
    <r>
      <rPr>
        <sz val="11"/>
        <color theme="9" tint="-0.249977111117893"/>
        <rFont val="Calibri"/>
        <family val="2"/>
        <scheme val="minor"/>
      </rPr>
      <t>SICOR-MG</t>
    </r>
  </si>
  <si>
    <t>-</t>
  </si>
  <si>
    <r>
      <t xml:space="preserve">Tabela XX - Custo de perfuração </t>
    </r>
    <r>
      <rPr>
        <sz val="11"/>
        <color rgb="FFFF0000"/>
        <rFont val="Calibri"/>
        <family val="2"/>
        <scheme val="minor"/>
      </rPr>
      <t>Sondatec</t>
    </r>
    <r>
      <rPr>
        <sz val="11"/>
        <color theme="1"/>
        <rFont val="Calibri"/>
        <family val="2"/>
        <scheme val="minor"/>
      </rPr>
      <t xml:space="preserve"> / </t>
    </r>
    <r>
      <rPr>
        <sz val="11"/>
        <color rgb="FF0070C0"/>
        <rFont val="Calibri"/>
        <family val="2"/>
        <scheme val="minor"/>
      </rPr>
      <t>SICRO</t>
    </r>
    <r>
      <rPr>
        <sz val="11"/>
        <color theme="1"/>
        <rFont val="Calibri"/>
        <family val="2"/>
        <scheme val="minor"/>
      </rPr>
      <t xml:space="preserve"> /</t>
    </r>
    <r>
      <rPr>
        <sz val="11"/>
        <color rgb="FF00B050"/>
        <rFont val="Calibri"/>
        <family val="2"/>
        <scheme val="minor"/>
      </rPr>
      <t xml:space="preserve"> SICOR-MG</t>
    </r>
  </si>
  <si>
    <t>Agressividade amb.</t>
  </si>
  <si>
    <t>Mod. Elasticidade:</t>
  </si>
  <si>
    <t>Expoe. n  (Deform.):</t>
  </si>
  <si>
    <r>
      <t xml:space="preserve">γ </t>
    </r>
    <r>
      <rPr>
        <b/>
        <sz val="14"/>
        <color theme="0"/>
        <rFont val="Calibri"/>
        <family val="2"/>
      </rPr>
      <t>kN/m³</t>
    </r>
  </si>
  <si>
    <r>
      <rPr>
        <sz val="12"/>
        <rFont val="Calibri"/>
        <family val="2"/>
        <scheme val="minor"/>
      </rPr>
      <t>γ</t>
    </r>
    <r>
      <rPr>
        <sz val="11"/>
        <rFont val="Calibri"/>
        <family val="2"/>
        <scheme val="minor"/>
      </rPr>
      <t xml:space="preserve"> </t>
    </r>
    <r>
      <rPr>
        <sz val="11.2"/>
        <rFont val="Calibri"/>
        <family val="2"/>
      </rPr>
      <t>kN/m³</t>
    </r>
  </si>
  <si>
    <r>
      <t>P</t>
    </r>
    <r>
      <rPr>
        <b/>
        <vertAlign val="subscript"/>
        <sz val="14"/>
        <rFont val="Calibri"/>
        <family val="2"/>
        <scheme val="minor"/>
      </rPr>
      <t xml:space="preserve">ATUANTE </t>
    </r>
    <r>
      <rPr>
        <b/>
        <sz val="14"/>
        <rFont val="Calibri"/>
        <family val="2"/>
        <scheme val="minor"/>
      </rPr>
      <t>=</t>
    </r>
  </si>
  <si>
    <t>Carga do Pilar (Pk)</t>
  </si>
  <si>
    <t>Porcentagem de aço</t>
  </si>
  <si>
    <t>Área de seção</t>
  </si>
  <si>
    <t>CARACTERÍSTICAS DA FUNDAÇÃO</t>
  </si>
  <si>
    <t>Comprimento útil</t>
  </si>
  <si>
    <t>Tensão máx. na seção</t>
  </si>
  <si>
    <t>N_máx</t>
  </si>
  <si>
    <r>
      <t>R</t>
    </r>
    <r>
      <rPr>
        <b/>
        <vertAlign val="subscript"/>
        <sz val="16"/>
        <rFont val="Calibri"/>
        <family val="2"/>
        <scheme val="minor"/>
      </rPr>
      <t>_adm_1e</t>
    </r>
  </si>
  <si>
    <r>
      <t xml:space="preserve">P </t>
    </r>
    <r>
      <rPr>
        <b/>
        <sz val="14"/>
        <rFont val="Calibri"/>
        <family val="2"/>
        <scheme val="minor"/>
      </rPr>
      <t>mín</t>
    </r>
  </si>
  <si>
    <r>
      <t xml:space="preserve">P </t>
    </r>
    <r>
      <rPr>
        <b/>
        <sz val="14"/>
        <rFont val="Calibri"/>
        <family val="2"/>
        <scheme val="minor"/>
      </rPr>
      <t xml:space="preserve">máx </t>
    </r>
  </si>
  <si>
    <r>
      <t xml:space="preserve">R </t>
    </r>
    <r>
      <rPr>
        <b/>
        <sz val="14"/>
        <rFont val="Calibri"/>
        <family val="2"/>
        <scheme val="minor"/>
      </rPr>
      <t>adm</t>
    </r>
  </si>
  <si>
    <r>
      <rPr>
        <b/>
        <sz val="28"/>
        <color theme="0"/>
        <rFont val="Times New Roman"/>
        <family val="1"/>
      </rPr>
      <t>CÁLCULO CAPACIDADE DE UMA ESTACA</t>
    </r>
    <r>
      <rPr>
        <sz val="28"/>
        <color theme="0"/>
        <rFont val="Times New Roman"/>
        <family val="1"/>
      </rPr>
      <t xml:space="preserve">
</t>
    </r>
    <r>
      <rPr>
        <sz val="20"/>
        <color theme="0"/>
        <rFont val="Times New Roman"/>
        <family val="1"/>
      </rPr>
      <t>Material disponibilizado para auxílio à elaboração de cálculos geotécnicos. As formas de uso e a interpretação dos resultados são de responsabilidade do usuário.</t>
    </r>
  </si>
  <si>
    <t>Material disponibilizado para auxílio à
elaboração de cálculos geotécnicos. As formas de uso e a interpretação dos resultados são de responsabilidade do usuário.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</si>
</sst>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8">
    <numFmt numFmtId="164" formatCode="&quot;R$&quot;#,##0.00_);[Red]\(&quot;R$&quot;#,##0.00\)"/>
    <numFmt numFmtId="165" formatCode="_(&quot;R$&quot;* #,##0.00_);_(&quot;R$&quot;* \(#,##0.00\);_(&quot;R$&quot;* &quot;-&quot;??_);_(@_)"/>
    <numFmt numFmtId="166" formatCode="0.0%"/>
    <numFmt numFmtId="167" formatCode="0.0000"/>
    <numFmt numFmtId="168" formatCode="#,##0.0"/>
    <numFmt numFmtId="169" formatCode="0.00\ &quot;cm&quot;"/>
    <numFmt numFmtId="170" formatCode="#,##0.00\ &quot;cm²&quot;"/>
    <numFmt numFmtId="171" formatCode="0.00\ &quot;m&quot;"/>
    <numFmt numFmtId="172" formatCode="#,##0.00\ &quot;m&quot;"/>
    <numFmt numFmtId="173" formatCode="#,##0.00\ &quot;m²&quot;"/>
    <numFmt numFmtId="174" formatCode="#,##0\ &quot;kN&quot;"/>
    <numFmt numFmtId="175" formatCode="#,##0.0\ &quot;kN/m²&quot;"/>
    <numFmt numFmtId="176" formatCode="0.00_ ;\-0.00\ &quot;m&quot;"/>
    <numFmt numFmtId="177" formatCode="0.0"/>
    <numFmt numFmtId="178" formatCode="0\ &quot;kN&quot;"/>
    <numFmt numFmtId="179" formatCode="0.000"/>
    <numFmt numFmtId="180" formatCode="0.000\ &quot;m²&quot;"/>
    <numFmt numFmtId="181" formatCode="0.0\ &quot;kN/m&quot;"/>
    <numFmt numFmtId="182" formatCode="0.00\ &quot;m³&quot;"/>
    <numFmt numFmtId="183" formatCode="0&quot;°&quot;"/>
    <numFmt numFmtId="184" formatCode="0\ &quot;MPa&quot;"/>
    <numFmt numFmtId="185" formatCode="0\ &quot;m&quot;"/>
    <numFmt numFmtId="186" formatCode="0\ &quot;cm&quot;"/>
    <numFmt numFmtId="187" formatCode="&quot;R$&quot;\ #,##0.00"/>
    <numFmt numFmtId="188" formatCode="&quot;R$&quot;\ #,##0.00\ &quot;/m&quot;"/>
    <numFmt numFmtId="189" formatCode="&quot;R$&quot;\ #,##0.00\ &quot;/m³&quot;"/>
    <numFmt numFmtId="190" formatCode="0\ &quot;GPa&quot;"/>
    <numFmt numFmtId="191" formatCode="0.00\ &quot;N/m³&quot;"/>
    <numFmt numFmtId="192" formatCode="0.00\ &quot;mm&quot;"/>
    <numFmt numFmtId="193" formatCode="0.0\ &quot;%&quot;"/>
    <numFmt numFmtId="194" formatCode="0.0\ &quot;MPa&quot;"/>
    <numFmt numFmtId="195" formatCode="0.00\ &quot;m²&quot;"/>
    <numFmt numFmtId="196" formatCode="&quot;R$&quot;\ #,##0.00\ &quot;/Kg&quot;"/>
    <numFmt numFmtId="197" formatCode="0.00\ &quot;cm²&quot;"/>
    <numFmt numFmtId="198" formatCode="0\ &quot;Kg&quot;"/>
    <numFmt numFmtId="199" formatCode="0\ &quot;Kg/m³&quot;"/>
    <numFmt numFmtId="200" formatCode="0.0\ &quot;cm&quot;"/>
    <numFmt numFmtId="201" formatCode="0.00\ &quot;Kgf&quot;"/>
  </numFmts>
  <fonts count="82">
    <font>
      <sz val="11"/>
      <color theme="1"/>
      <name val="Calibri"/>
      <family val="2"/>
      <scheme val="minor"/>
    </font>
    <font>
      <sz val="11"/>
      <color theme="1"/>
      <name val="Symbol"/>
      <family val="1"/>
      <charset val="2"/>
    </font>
    <font>
      <sz val="11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4"/>
      <name val="Calibri"/>
      <family val="2"/>
      <scheme val="minor"/>
    </font>
    <font>
      <sz val="14"/>
      <color theme="1" tint="0.34998626667073579"/>
      <name val="Calibri"/>
      <family val="2"/>
      <scheme val="minor"/>
    </font>
    <font>
      <sz val="9"/>
      <color indexed="81"/>
      <name val="Segoe UI"/>
      <family val="2"/>
    </font>
    <font>
      <b/>
      <sz val="10"/>
      <color theme="4" tint="-0.249977111117893"/>
      <name val="Calibri"/>
      <family val="2"/>
      <scheme val="minor"/>
    </font>
    <font>
      <b/>
      <sz val="8"/>
      <color theme="4" tint="-0.249977111117893"/>
      <name val="Calibri"/>
      <family val="2"/>
      <scheme val="minor"/>
    </font>
    <font>
      <sz val="8"/>
      <color rgb="FF000000"/>
      <name val="Segoe UI"/>
      <family val="2"/>
    </font>
    <font>
      <b/>
      <sz val="11"/>
      <color theme="1"/>
      <name val="Calibri"/>
      <family val="2"/>
      <scheme val="minor"/>
    </font>
    <font>
      <vertAlign val="subscript"/>
      <sz val="14"/>
      <color theme="1" tint="0.34998626667073579"/>
      <name val="Calibri"/>
      <family val="2"/>
      <scheme val="minor"/>
    </font>
    <font>
      <sz val="28"/>
      <color theme="0"/>
      <name val="Calibri"/>
      <family val="2"/>
      <scheme val="minor"/>
    </font>
    <font>
      <sz val="14"/>
      <color theme="4" tint="0.59999389629810485"/>
      <name val="Calibri"/>
      <family val="2"/>
      <scheme val="minor"/>
    </font>
    <font>
      <b/>
      <sz val="14"/>
      <color rgb="FF00B0F0"/>
      <name val="Calibri"/>
      <family val="2"/>
      <scheme val="minor"/>
    </font>
    <font>
      <sz val="10"/>
      <color theme="0"/>
      <name val="Arial"/>
      <family val="2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8"/>
      <color theme="1" tint="0.34998626667073579"/>
      <name val="Calibri"/>
      <family val="2"/>
      <scheme val="minor"/>
    </font>
    <font>
      <sz val="14"/>
      <color rgb="FF000000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vertAlign val="subscript"/>
      <sz val="14"/>
      <name val="Calibri"/>
      <family val="2"/>
      <scheme val="minor"/>
    </font>
    <font>
      <b/>
      <sz val="14"/>
      <name val="Calibri"/>
      <family val="2"/>
      <scheme val="minor"/>
    </font>
    <font>
      <b/>
      <vertAlign val="subscript"/>
      <sz val="14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rgb="FFDC0000"/>
      <name val="Calibri"/>
      <family val="2"/>
      <scheme val="minor"/>
    </font>
    <font>
      <sz val="14"/>
      <name val="Calibri"/>
      <family val="2"/>
    </font>
    <font>
      <sz val="12"/>
      <color theme="1"/>
      <name val="Calibri"/>
      <family val="2"/>
    </font>
    <font>
      <b/>
      <sz val="9"/>
      <color indexed="81"/>
      <name val="Segoe UI"/>
      <family val="2"/>
    </font>
    <font>
      <b/>
      <sz val="14"/>
      <color theme="0"/>
      <name val="Calibri"/>
      <family val="2"/>
    </font>
    <font>
      <b/>
      <sz val="11.2"/>
      <color theme="0"/>
      <name val="Calibri"/>
      <family val="2"/>
    </font>
    <font>
      <sz val="11.2"/>
      <name val="Calibri"/>
      <family val="2"/>
    </font>
    <font>
      <sz val="10"/>
      <color theme="1"/>
      <name val="Calibri"/>
      <family val="2"/>
      <scheme val="minor"/>
    </font>
    <font>
      <sz val="14"/>
      <color theme="1"/>
      <name val="Calibri"/>
      <family val="2"/>
    </font>
    <font>
      <b/>
      <sz val="8"/>
      <name val="Arial"/>
      <family val="2"/>
    </font>
    <font>
      <b/>
      <sz val="8"/>
      <color rgb="FF2B2A29"/>
      <name val="Arial"/>
      <family val="2"/>
    </font>
    <font>
      <sz val="10"/>
      <color rgb="FF2B2A29"/>
      <name val="Arial MT"/>
      <family val="2"/>
    </font>
    <font>
      <vertAlign val="superscript"/>
      <sz val="10"/>
      <color rgb="FF2B2A29"/>
      <name val="Arial MT"/>
    </font>
    <font>
      <sz val="10"/>
      <color rgb="FF2B2A29"/>
      <name val="Times New Roman"/>
      <family val="1"/>
    </font>
    <font>
      <b/>
      <sz val="14"/>
      <color theme="1"/>
      <name val="Calibri"/>
      <family val="2"/>
      <scheme val="minor"/>
    </font>
    <font>
      <vertAlign val="superscript"/>
      <sz val="10"/>
      <color rgb="FF2B2A29"/>
      <name val="Arial MT"/>
      <family val="2"/>
    </font>
    <font>
      <i/>
      <sz val="10"/>
      <color rgb="FF2B2A29"/>
      <name val="Arial"/>
      <family val="2"/>
    </font>
    <font>
      <vertAlign val="subscript"/>
      <sz val="10"/>
      <color rgb="FF2B2A29"/>
      <name val="Arial MT"/>
      <family val="2"/>
    </font>
    <font>
      <sz val="10"/>
      <color rgb="FF2B2A29"/>
      <name val="Symbol"/>
      <family val="5"/>
    </font>
    <font>
      <i/>
      <vertAlign val="subscript"/>
      <sz val="10"/>
      <color rgb="FF2B2A29"/>
      <name val="Arial"/>
      <family val="2"/>
    </font>
    <font>
      <sz val="11"/>
      <color rgb="FF2B2A29"/>
      <name val="Arial"/>
      <family val="2"/>
    </font>
    <font>
      <b/>
      <i/>
      <sz val="11"/>
      <color rgb="FF2B2A29"/>
      <name val="Arial"/>
      <family val="2"/>
    </font>
    <font>
      <vertAlign val="subscript"/>
      <sz val="11"/>
      <color rgb="FF2B2A29"/>
      <name val="Arial"/>
      <family val="2"/>
    </font>
    <font>
      <sz val="11"/>
      <color theme="1"/>
      <name val="Arial"/>
      <family val="2"/>
    </font>
    <font>
      <sz val="8"/>
      <color rgb="FF2B2A29"/>
      <name val="Arial"/>
      <family val="2"/>
    </font>
    <font>
      <sz val="8"/>
      <name val="Arial"/>
      <family val="2"/>
    </font>
    <font>
      <sz val="9"/>
      <color theme="1"/>
      <name val="Arial"/>
      <family val="2"/>
    </font>
    <font>
      <sz val="36"/>
      <name val="Calibri"/>
      <family val="2"/>
      <scheme val="minor"/>
    </font>
    <font>
      <b/>
      <sz val="16"/>
      <color theme="0"/>
      <name val="Calibri"/>
      <family val="2"/>
    </font>
    <font>
      <b/>
      <sz val="16"/>
      <name val="Calibri"/>
      <family val="2"/>
      <scheme val="minor"/>
    </font>
    <font>
      <b/>
      <vertAlign val="subscript"/>
      <sz val="16"/>
      <name val="Calibri"/>
      <family val="2"/>
      <scheme val="minor"/>
    </font>
    <font>
      <b/>
      <sz val="28"/>
      <color theme="0"/>
      <name val="Calibri"/>
      <family val="2"/>
      <scheme val="minor"/>
    </font>
    <font>
      <sz val="11"/>
      <color theme="1"/>
      <name val="Callibri"/>
    </font>
    <font>
      <sz val="12"/>
      <name val="Calibri"/>
      <family val="2"/>
      <scheme val="minor"/>
    </font>
    <font>
      <sz val="14"/>
      <color rgb="FFFFFFFF"/>
      <name val="Calibri"/>
      <family val="2"/>
      <scheme val="minor"/>
    </font>
    <font>
      <sz val="14"/>
      <color rgb="FFBDD7EE"/>
      <name val="Calibri"/>
      <family val="2"/>
      <scheme val="minor"/>
    </font>
    <font>
      <vertAlign val="subscript"/>
      <sz val="14"/>
      <color rgb="FF000000"/>
      <name val="Calibri"/>
      <family val="2"/>
      <scheme val="minor"/>
    </font>
    <font>
      <sz val="16"/>
      <name val="Calibri"/>
      <family val="2"/>
      <scheme val="minor"/>
    </font>
    <font>
      <sz val="16"/>
      <color rgb="FFFF0000"/>
      <name val="Calibri"/>
      <family val="2"/>
      <scheme val="minor"/>
    </font>
    <font>
      <sz val="12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vertAlign val="subscript"/>
      <sz val="12"/>
      <name val="Times New Roman"/>
      <family val="1"/>
    </font>
    <font>
      <b/>
      <sz val="12"/>
      <color theme="0"/>
      <name val="Times New Roman"/>
      <family val="1"/>
    </font>
    <font>
      <vertAlign val="subscript"/>
      <sz val="12"/>
      <name val="Times New Roman"/>
      <family val="1"/>
    </font>
    <font>
      <sz val="11"/>
      <color rgb="FF0070C0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name val="Calibri"/>
      <family val="2"/>
    </font>
    <font>
      <b/>
      <sz val="16"/>
      <color indexed="81"/>
      <name val="Segoe UI"/>
      <family val="2"/>
    </font>
    <font>
      <sz val="28"/>
      <color theme="0"/>
      <name val="Times New Roman"/>
      <family val="1"/>
    </font>
    <font>
      <b/>
      <sz val="28"/>
      <color theme="0"/>
      <name val="Times New Roman"/>
      <family val="1"/>
    </font>
    <font>
      <sz val="20"/>
      <color theme="0"/>
      <name val="Times New Roman"/>
      <family val="1"/>
    </font>
    <font>
      <b/>
      <sz val="18"/>
      <color theme="1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gradientFill degree="90">
        <stop position="0">
          <color theme="8" tint="-0.25098422193060094"/>
        </stop>
        <stop position="1">
          <color theme="8" tint="0.40000610370189521"/>
        </stop>
      </gradientFill>
    </fill>
    <fill>
      <gradientFill degree="180">
        <stop position="0">
          <color theme="8" tint="-0.25098422193060094"/>
        </stop>
        <stop position="1">
          <color theme="8" tint="0.40000610370189521"/>
        </stop>
      </gradientFill>
    </fill>
    <fill>
      <patternFill patternType="solid">
        <fgColor theme="4" tint="0.599963377788628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gradientFill degree="180">
        <stop position="0">
          <color theme="8" tint="0.80001220740379042"/>
        </stop>
        <stop position="1">
          <color theme="8" tint="-0.25098422193060094"/>
        </stop>
      </gradientFill>
    </fill>
    <fill>
      <gradientFill degree="90">
        <stop position="0">
          <color theme="8" tint="0.80001220740379042"/>
        </stop>
        <stop position="1">
          <color theme="8" tint="-0.25098422193060094"/>
        </stop>
      </gradientFill>
    </fill>
    <fill>
      <patternFill patternType="solid">
        <fgColor theme="7" tint="0.7999816888943144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theme="8" tint="-0.249977111117893"/>
        <bgColor auto="1"/>
      </patternFill>
    </fill>
    <fill>
      <patternFill patternType="solid">
        <fgColor rgb="FFFF0000"/>
        <bgColor indexed="64"/>
      </patternFill>
    </fill>
    <fill>
      <patternFill patternType="solid">
        <fgColor theme="7" tint="0.79998168889431442"/>
        <bgColor auto="1"/>
      </patternFill>
    </fill>
    <fill>
      <patternFill patternType="solid">
        <fgColor rgb="FFBDD7EE"/>
        <bgColor indexed="64"/>
      </patternFill>
    </fill>
    <fill>
      <patternFill patternType="solid">
        <fgColor rgb="FFFDFDFD"/>
        <bgColor indexed="64"/>
      </patternFill>
    </fill>
  </fills>
  <borders count="51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indexed="64"/>
      </bottom>
      <diagonal/>
    </border>
    <border>
      <left/>
      <right/>
      <top style="thin">
        <color theme="0"/>
      </top>
      <bottom style="thin">
        <color indexed="64"/>
      </bottom>
      <diagonal/>
    </border>
    <border>
      <left style="thin">
        <color rgb="FF2B2A29"/>
      </left>
      <right style="thin">
        <color rgb="FF2B2A29"/>
      </right>
      <top style="thin">
        <color rgb="FF2B2A29"/>
      </top>
      <bottom/>
      <diagonal/>
    </border>
    <border>
      <left style="thin">
        <color rgb="FF2B2A29"/>
      </left>
      <right/>
      <top style="thin">
        <color rgb="FF2B2A29"/>
      </top>
      <bottom style="thin">
        <color rgb="FF2B2A29"/>
      </bottom>
      <diagonal/>
    </border>
    <border>
      <left/>
      <right style="thin">
        <color rgb="FF2B2A29"/>
      </right>
      <top style="thin">
        <color rgb="FF2B2A29"/>
      </top>
      <bottom style="thin">
        <color rgb="FF2B2A29"/>
      </bottom>
      <diagonal/>
    </border>
    <border>
      <left style="thin">
        <color rgb="FF2B2A29"/>
      </left>
      <right style="thin">
        <color rgb="FF2B2A29"/>
      </right>
      <top/>
      <bottom style="thin">
        <color rgb="FF2B2A29"/>
      </bottom>
      <diagonal/>
    </border>
    <border>
      <left style="thin">
        <color rgb="FF2B2A29"/>
      </left>
      <right style="thin">
        <color rgb="FF2B2A29"/>
      </right>
      <top style="thin">
        <color rgb="FF2B2A29"/>
      </top>
      <bottom style="thin">
        <color rgb="FF2B2A29"/>
      </bottom>
      <diagonal/>
    </border>
    <border>
      <left/>
      <right/>
      <top style="thin">
        <color rgb="FF2B2A29"/>
      </top>
      <bottom/>
      <diagonal/>
    </border>
    <border>
      <left/>
      <right/>
      <top/>
      <bottom style="thin">
        <color rgb="FF2B2A29"/>
      </bottom>
      <diagonal/>
    </border>
    <border>
      <left style="thin">
        <color rgb="FF2B2A29"/>
      </left>
      <right/>
      <top style="thin">
        <color rgb="FF2B2A29"/>
      </top>
      <bottom/>
      <diagonal/>
    </border>
    <border>
      <left/>
      <right style="thin">
        <color rgb="FF2B2A29"/>
      </right>
      <top style="thin">
        <color rgb="FF2B2A29"/>
      </top>
      <bottom/>
      <diagonal/>
    </border>
    <border>
      <left style="thin">
        <color rgb="FF2B2A29"/>
      </left>
      <right/>
      <top/>
      <bottom style="thin">
        <color rgb="FF2B2A29"/>
      </bottom>
      <diagonal/>
    </border>
    <border>
      <left/>
      <right style="thin">
        <color rgb="FF2B2A29"/>
      </right>
      <top/>
      <bottom style="thin">
        <color rgb="FF2B2A29"/>
      </bottom>
      <diagonal/>
    </border>
    <border>
      <left style="thin">
        <color indexed="64"/>
      </left>
      <right style="thin">
        <color rgb="FF2B2A29"/>
      </right>
      <top style="thin">
        <color rgb="FF2B2A29"/>
      </top>
      <bottom style="thin">
        <color rgb="FF2B2A29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 style="thin">
        <color theme="0"/>
      </right>
      <top/>
      <bottom/>
      <diagonal/>
    </border>
    <border>
      <left/>
      <right style="thin">
        <color theme="0"/>
      </right>
      <top style="thin">
        <color indexed="64"/>
      </top>
      <bottom/>
      <diagonal/>
    </border>
    <border>
      <left/>
      <right style="thin">
        <color theme="0"/>
      </right>
      <top style="thin">
        <color theme="0"/>
      </top>
      <bottom style="thin">
        <color indexed="64"/>
      </bottom>
      <diagonal/>
    </border>
    <border>
      <left style="thin">
        <color theme="0"/>
      </left>
      <right/>
      <top style="thin">
        <color indexed="64"/>
      </top>
      <bottom style="thin">
        <color theme="0"/>
      </bottom>
      <diagonal/>
    </border>
    <border>
      <left/>
      <right/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theme="0"/>
      </left>
      <right/>
      <top/>
      <bottom style="medium">
        <color indexed="64"/>
      </bottom>
      <diagonal/>
    </border>
    <border>
      <left style="thin">
        <color theme="0"/>
      </left>
      <right/>
      <top style="thin">
        <color indexed="64"/>
      </top>
      <bottom/>
      <diagonal/>
    </border>
  </borders>
  <cellStyleXfs count="3">
    <xf numFmtId="0" fontId="0" fillId="0" borderId="0"/>
    <xf numFmtId="9" fontId="27" fillId="0" borderId="0" applyFont="0" applyFill="0" applyBorder="0" applyAlignment="0" applyProtection="0"/>
    <xf numFmtId="165" fontId="27" fillId="0" borderId="0" applyFont="0" applyFill="0" applyBorder="0" applyAlignment="0" applyProtection="0"/>
  </cellStyleXfs>
  <cellXfs count="450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166" fontId="0" fillId="0" borderId="0" xfId="0" applyNumberFormat="1" applyAlignment="1">
      <alignment horizontal="center"/>
    </xf>
    <xf numFmtId="0" fontId="0" fillId="0" borderId="0" xfId="0" applyAlignment="1">
      <alignment horizontal="right"/>
    </xf>
    <xf numFmtId="0" fontId="1" fillId="0" borderId="0" xfId="0" applyFont="1" applyAlignment="1">
      <alignment horizontal="center"/>
    </xf>
    <xf numFmtId="49" fontId="0" fillId="0" borderId="0" xfId="0" applyNumberFormat="1" applyAlignment="1">
      <alignment horizontal="left"/>
    </xf>
    <xf numFmtId="10" fontId="0" fillId="0" borderId="0" xfId="0" applyNumberFormat="1" applyAlignment="1">
      <alignment horizontal="center"/>
    </xf>
    <xf numFmtId="0" fontId="2" fillId="2" borderId="0" xfId="0" applyFont="1" applyFill="1" applyAlignment="1">
      <alignment horizontal="center"/>
    </xf>
    <xf numFmtId="167" fontId="0" fillId="0" borderId="0" xfId="0" applyNumberFormat="1" applyAlignment="1">
      <alignment horizontal="center"/>
    </xf>
    <xf numFmtId="168" fontId="0" fillId="0" borderId="0" xfId="0" applyNumberFormat="1" applyAlignment="1">
      <alignment horizontal="right"/>
    </xf>
    <xf numFmtId="3" fontId="0" fillId="0" borderId="0" xfId="0" applyNumberFormat="1" applyAlignment="1">
      <alignment horizontal="center"/>
    </xf>
    <xf numFmtId="49" fontId="0" fillId="0" borderId="0" xfId="0" applyNumberFormat="1"/>
    <xf numFmtId="166" fontId="0" fillId="0" borderId="0" xfId="0" applyNumberFormat="1" applyAlignment="1">
      <alignment horizontal="left"/>
    </xf>
    <xf numFmtId="0" fontId="0" fillId="9" borderId="0" xfId="0" applyFill="1" applyAlignment="1">
      <alignment horizontal="right"/>
    </xf>
    <xf numFmtId="0" fontId="0" fillId="9" borderId="0" xfId="0" applyFill="1" applyAlignment="1">
      <alignment horizontal="center"/>
    </xf>
    <xf numFmtId="0" fontId="0" fillId="10" borderId="0" xfId="0" applyFill="1" applyAlignment="1">
      <alignment horizontal="right"/>
    </xf>
    <xf numFmtId="0" fontId="0" fillId="11" borderId="0" xfId="0" applyFill="1" applyAlignment="1">
      <alignment horizontal="right"/>
    </xf>
    <xf numFmtId="4" fontId="0" fillId="0" borderId="0" xfId="0" applyNumberFormat="1" applyAlignment="1">
      <alignment horizontal="center"/>
    </xf>
    <xf numFmtId="0" fontId="10" fillId="0" borderId="0" xfId="0" applyFont="1" applyAlignment="1">
      <alignment horizontal="right"/>
    </xf>
    <xf numFmtId="168" fontId="0" fillId="0" borderId="0" xfId="0" applyNumberFormat="1" applyAlignment="1">
      <alignment horizontal="center"/>
    </xf>
    <xf numFmtId="49" fontId="0" fillId="0" borderId="0" xfId="0" applyNumberFormat="1" applyAlignment="1">
      <alignment horizontal="center"/>
    </xf>
    <xf numFmtId="0" fontId="2" fillId="2" borderId="0" xfId="0" applyFont="1" applyFill="1"/>
    <xf numFmtId="0" fontId="2" fillId="0" borderId="0" xfId="0" applyFont="1"/>
    <xf numFmtId="0" fontId="2" fillId="0" borderId="0" xfId="0" applyFont="1" applyAlignment="1">
      <alignment horizontal="center"/>
    </xf>
    <xf numFmtId="2" fontId="2" fillId="2" borderId="0" xfId="0" applyNumberFormat="1" applyFont="1" applyFill="1" applyAlignment="1">
      <alignment horizontal="center"/>
    </xf>
    <xf numFmtId="0" fontId="4" fillId="3" borderId="0" xfId="0" applyFont="1" applyFill="1" applyAlignment="1" applyProtection="1">
      <alignment vertical="center"/>
      <protection hidden="1"/>
    </xf>
    <xf numFmtId="0" fontId="4" fillId="3" borderId="0" xfId="0" applyFont="1" applyFill="1" applyAlignment="1" applyProtection="1">
      <alignment horizontal="center" vertical="center"/>
      <protection hidden="1"/>
    </xf>
    <xf numFmtId="0" fontId="4" fillId="3" borderId="0" xfId="0" applyFont="1" applyFill="1" applyAlignment="1" applyProtection="1">
      <alignment horizontal="left" vertical="center"/>
      <protection hidden="1"/>
    </xf>
    <xf numFmtId="3" fontId="4" fillId="3" borderId="0" xfId="0" applyNumberFormat="1" applyFont="1" applyFill="1" applyAlignment="1" applyProtection="1">
      <alignment horizontal="center" vertical="center"/>
      <protection hidden="1"/>
    </xf>
    <xf numFmtId="3" fontId="4" fillId="3" borderId="0" xfId="0" applyNumberFormat="1" applyFont="1" applyFill="1" applyAlignment="1" applyProtection="1">
      <alignment vertical="center"/>
      <protection hidden="1"/>
    </xf>
    <xf numFmtId="0" fontId="3" fillId="5" borderId="1" xfId="0" applyFont="1" applyFill="1" applyBorder="1" applyAlignment="1" applyProtection="1">
      <alignment horizontal="center" vertical="center"/>
      <protection hidden="1"/>
    </xf>
    <xf numFmtId="0" fontId="4" fillId="3" borderId="6" xfId="0" applyFont="1" applyFill="1" applyBorder="1" applyAlignment="1" applyProtection="1">
      <alignment vertical="center"/>
      <protection hidden="1"/>
    </xf>
    <xf numFmtId="0" fontId="3" fillId="5" borderId="4" xfId="0" applyFont="1" applyFill="1" applyBorder="1" applyAlignment="1" applyProtection="1">
      <alignment horizontal="right" vertical="center"/>
      <protection hidden="1"/>
    </xf>
    <xf numFmtId="0" fontId="3" fillId="4" borderId="3" xfId="0" applyFont="1" applyFill="1" applyBorder="1" applyAlignment="1" applyProtection="1">
      <alignment horizontal="center" vertical="center"/>
      <protection hidden="1"/>
    </xf>
    <xf numFmtId="0" fontId="4" fillId="3" borderId="7" xfId="0" applyFont="1" applyFill="1" applyBorder="1" applyAlignment="1" applyProtection="1">
      <alignment vertical="center"/>
      <protection hidden="1"/>
    </xf>
    <xf numFmtId="0" fontId="5" fillId="8" borderId="4" xfId="0" applyFont="1" applyFill="1" applyBorder="1" applyAlignment="1" applyProtection="1">
      <alignment horizontal="right" vertical="center"/>
      <protection hidden="1"/>
    </xf>
    <xf numFmtId="0" fontId="3" fillId="4" borderId="1" xfId="0" applyFont="1" applyFill="1" applyBorder="1" applyAlignment="1" applyProtection="1">
      <alignment horizontal="center" vertical="center"/>
      <protection hidden="1"/>
    </xf>
    <xf numFmtId="0" fontId="8" fillId="8" borderId="4" xfId="0" applyFont="1" applyFill="1" applyBorder="1" applyAlignment="1" applyProtection="1">
      <alignment horizontal="center" vertical="center"/>
      <protection hidden="1"/>
    </xf>
    <xf numFmtId="0" fontId="7" fillId="8" borderId="2" xfId="0" applyFont="1" applyFill="1" applyBorder="1" applyAlignment="1" applyProtection="1">
      <alignment horizontal="right" vertical="center"/>
      <protection hidden="1"/>
    </xf>
    <xf numFmtId="0" fontId="4" fillId="3" borderId="1" xfId="0" applyFont="1" applyFill="1" applyBorder="1" applyAlignment="1" applyProtection="1">
      <alignment horizontal="right" vertical="center"/>
      <protection hidden="1"/>
    </xf>
    <xf numFmtId="0" fontId="4" fillId="3" borderId="1" xfId="0" applyFont="1" applyFill="1" applyBorder="1" applyAlignment="1" applyProtection="1">
      <alignment horizontal="left" vertical="center"/>
      <protection hidden="1"/>
    </xf>
    <xf numFmtId="0" fontId="4" fillId="3" borderId="1" xfId="0" applyFont="1" applyFill="1" applyBorder="1" applyAlignment="1" applyProtection="1">
      <alignment vertical="center"/>
      <protection hidden="1"/>
    </xf>
    <xf numFmtId="0" fontId="4" fillId="3" borderId="0" xfId="0" applyFont="1" applyFill="1" applyAlignment="1" applyProtection="1">
      <alignment horizontal="right" vertical="center"/>
      <protection hidden="1"/>
    </xf>
    <xf numFmtId="0" fontId="4" fillId="3" borderId="8" xfId="0" applyFont="1" applyFill="1" applyBorder="1" applyAlignment="1" applyProtection="1">
      <alignment vertical="center"/>
      <protection hidden="1"/>
    </xf>
    <xf numFmtId="3" fontId="0" fillId="0" borderId="0" xfId="0" applyNumberFormat="1" applyAlignment="1">
      <alignment horizontal="right"/>
    </xf>
    <xf numFmtId="2" fontId="16" fillId="0" borderId="0" xfId="0" applyNumberFormat="1" applyFont="1" applyAlignment="1">
      <alignment horizontal="center"/>
    </xf>
    <xf numFmtId="1" fontId="0" fillId="0" borderId="0" xfId="0" applyNumberFormat="1" applyAlignment="1">
      <alignment horizontal="center"/>
    </xf>
    <xf numFmtId="0" fontId="16" fillId="0" borderId="0" xfId="0" applyFont="1"/>
    <xf numFmtId="0" fontId="16" fillId="0" borderId="0" xfId="0" applyFont="1" applyAlignment="1">
      <alignment horizontal="center"/>
    </xf>
    <xf numFmtId="0" fontId="16" fillId="14" borderId="0" xfId="0" applyFont="1" applyFill="1" applyAlignment="1">
      <alignment horizontal="center"/>
    </xf>
    <xf numFmtId="0" fontId="16" fillId="0" borderId="0" xfId="0" applyFont="1" applyAlignment="1">
      <alignment horizontal="left"/>
    </xf>
    <xf numFmtId="172" fontId="5" fillId="8" borderId="5" xfId="0" applyNumberFormat="1" applyFont="1" applyFill="1" applyBorder="1" applyAlignment="1" applyProtection="1">
      <alignment horizontal="right" vertical="center"/>
      <protection locked="0"/>
    </xf>
    <xf numFmtId="173" fontId="5" fillId="8" borderId="5" xfId="0" applyNumberFormat="1" applyFont="1" applyFill="1" applyBorder="1" applyAlignment="1" applyProtection="1">
      <alignment horizontal="right" vertical="center"/>
      <protection locked="0"/>
    </xf>
    <xf numFmtId="49" fontId="13" fillId="8" borderId="9" xfId="0" applyNumberFormat="1" applyFont="1" applyFill="1" applyBorder="1" applyAlignment="1" applyProtection="1">
      <alignment horizontal="left" vertical="center"/>
      <protection locked="0" hidden="1"/>
    </xf>
    <xf numFmtId="2" fontId="0" fillId="0" borderId="0" xfId="0" applyNumberFormat="1"/>
    <xf numFmtId="0" fontId="4" fillId="15" borderId="0" xfId="0" applyFont="1" applyFill="1" applyAlignment="1" applyProtection="1">
      <alignment vertical="center"/>
      <protection hidden="1"/>
    </xf>
    <xf numFmtId="0" fontId="0" fillId="11" borderId="0" xfId="0" applyFill="1" applyAlignment="1">
      <alignment horizontal="center" vertical="center"/>
    </xf>
    <xf numFmtId="0" fontId="0" fillId="10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4" xfId="0" applyFont="1" applyBorder="1" applyAlignment="1" applyProtection="1">
      <alignment horizontal="right" vertical="center"/>
      <protection hidden="1"/>
    </xf>
    <xf numFmtId="0" fontId="5" fillId="0" borderId="5" xfId="0" applyFont="1" applyBorder="1" applyAlignment="1" applyProtection="1">
      <alignment horizontal="right" vertical="center"/>
      <protection hidden="1"/>
    </xf>
    <xf numFmtId="179" fontId="4" fillId="3" borderId="7" xfId="0" applyNumberFormat="1" applyFont="1" applyFill="1" applyBorder="1" applyAlignment="1" applyProtection="1">
      <alignment horizontal="center" vertical="center"/>
      <protection hidden="1"/>
    </xf>
    <xf numFmtId="0" fontId="5" fillId="0" borderId="0" xfId="0" applyFont="1" applyAlignment="1" applyProtection="1">
      <alignment horizontal="center" vertical="center"/>
      <protection hidden="1"/>
    </xf>
    <xf numFmtId="0" fontId="4" fillId="8" borderId="4" xfId="0" applyFont="1" applyFill="1" applyBorder="1" applyAlignment="1" applyProtection="1">
      <alignment horizontal="right" vertical="center"/>
      <protection hidden="1"/>
    </xf>
    <xf numFmtId="176" fontId="4" fillId="14" borderId="5" xfId="0" applyNumberFormat="1" applyFont="1" applyFill="1" applyBorder="1" applyAlignment="1" applyProtection="1">
      <alignment horizontal="center" vertical="center"/>
      <protection locked="0"/>
    </xf>
    <xf numFmtId="169" fontId="4" fillId="14" borderId="5" xfId="0" applyNumberFormat="1" applyFont="1" applyFill="1" applyBorder="1" applyAlignment="1" applyProtection="1">
      <alignment horizontal="right" vertical="center"/>
      <protection locked="0"/>
    </xf>
    <xf numFmtId="0" fontId="4" fillId="4" borderId="4" xfId="0" applyFont="1" applyFill="1" applyBorder="1" applyAlignment="1" applyProtection="1">
      <alignment horizontal="right" vertical="center"/>
      <protection hidden="1"/>
    </xf>
    <xf numFmtId="177" fontId="4" fillId="4" borderId="5" xfId="0" applyNumberFormat="1" applyFont="1" applyFill="1" applyBorder="1" applyAlignment="1" applyProtection="1">
      <alignment horizontal="center" vertical="center"/>
      <protection hidden="1"/>
    </xf>
    <xf numFmtId="180" fontId="4" fillId="4" borderId="5" xfId="0" applyNumberFormat="1" applyFont="1" applyFill="1" applyBorder="1" applyAlignment="1" applyProtection="1">
      <alignment horizontal="center" vertical="center"/>
      <protection hidden="1"/>
    </xf>
    <xf numFmtId="179" fontId="4" fillId="4" borderId="4" xfId="0" applyNumberFormat="1" applyFont="1" applyFill="1" applyBorder="1" applyAlignment="1" applyProtection="1">
      <alignment horizontal="right" vertical="center"/>
      <protection hidden="1"/>
    </xf>
    <xf numFmtId="174" fontId="4" fillId="4" borderId="5" xfId="0" applyNumberFormat="1" applyFont="1" applyFill="1" applyBorder="1" applyAlignment="1" applyProtection="1">
      <alignment horizontal="right" vertical="center"/>
      <protection hidden="1"/>
    </xf>
    <xf numFmtId="170" fontId="4" fillId="4" borderId="5" xfId="0" applyNumberFormat="1" applyFont="1" applyFill="1" applyBorder="1" applyAlignment="1" applyProtection="1">
      <alignment horizontal="right" vertical="center"/>
      <protection hidden="1"/>
    </xf>
    <xf numFmtId="174" fontId="4" fillId="4" borderId="5" xfId="0" applyNumberFormat="1" applyFont="1" applyFill="1" applyBorder="1" applyAlignment="1" applyProtection="1">
      <alignment horizontal="center" vertical="center"/>
      <protection hidden="1"/>
    </xf>
    <xf numFmtId="170" fontId="4" fillId="4" borderId="5" xfId="0" applyNumberFormat="1" applyFont="1" applyFill="1" applyBorder="1" applyAlignment="1" applyProtection="1">
      <alignment horizontal="center" vertical="center"/>
      <protection hidden="1"/>
    </xf>
    <xf numFmtId="174" fontId="25" fillId="4" borderId="5" xfId="0" applyNumberFormat="1" applyFont="1" applyFill="1" applyBorder="1" applyAlignment="1" applyProtection="1">
      <alignment horizontal="center" vertical="center"/>
      <protection hidden="1"/>
    </xf>
    <xf numFmtId="178" fontId="25" fillId="4" borderId="5" xfId="0" applyNumberFormat="1" applyFont="1" applyFill="1" applyBorder="1" applyAlignment="1" applyProtection="1">
      <alignment horizontal="center" vertical="center"/>
      <protection hidden="1"/>
    </xf>
    <xf numFmtId="171" fontId="4" fillId="8" borderId="5" xfId="0" applyNumberFormat="1" applyFont="1" applyFill="1" applyBorder="1" applyAlignment="1" applyProtection="1">
      <alignment horizontal="center" vertical="center"/>
      <protection hidden="1"/>
    </xf>
    <xf numFmtId="178" fontId="21" fillId="16" borderId="5" xfId="0" applyNumberFormat="1" applyFont="1" applyFill="1" applyBorder="1" applyAlignment="1" applyProtection="1">
      <alignment horizontal="center" vertical="center"/>
      <protection locked="0"/>
    </xf>
    <xf numFmtId="9" fontId="21" fillId="16" borderId="5" xfId="1" applyFont="1" applyFill="1" applyBorder="1" applyAlignment="1" applyProtection="1">
      <alignment horizontal="center" vertical="center"/>
      <protection locked="0"/>
    </xf>
    <xf numFmtId="181" fontId="21" fillId="16" borderId="5" xfId="0" applyNumberFormat="1" applyFont="1" applyFill="1" applyBorder="1" applyAlignment="1" applyProtection="1">
      <alignment horizontal="center" vertical="center"/>
      <protection locked="0"/>
    </xf>
    <xf numFmtId="178" fontId="4" fillId="8" borderId="5" xfId="0" applyNumberFormat="1" applyFont="1" applyFill="1" applyBorder="1" applyAlignment="1" applyProtection="1">
      <alignment horizontal="center" vertical="center"/>
      <protection hidden="1"/>
    </xf>
    <xf numFmtId="2" fontId="4" fillId="8" borderId="5" xfId="0" applyNumberFormat="1" applyFont="1" applyFill="1" applyBorder="1" applyAlignment="1" applyProtection="1">
      <alignment horizontal="center" vertical="center"/>
      <protection hidden="1"/>
    </xf>
    <xf numFmtId="182" fontId="4" fillId="8" borderId="5" xfId="0" applyNumberFormat="1" applyFont="1" applyFill="1" applyBorder="1" applyAlignment="1" applyProtection="1">
      <alignment horizontal="center" vertical="center"/>
      <protection hidden="1"/>
    </xf>
    <xf numFmtId="175" fontId="4" fillId="4" borderId="5" xfId="0" applyNumberFormat="1" applyFont="1" applyFill="1" applyBorder="1" applyAlignment="1" applyProtection="1">
      <alignment horizontal="center" vertical="center"/>
      <protection hidden="1"/>
    </xf>
    <xf numFmtId="169" fontId="4" fillId="8" borderId="5" xfId="0" applyNumberFormat="1" applyFont="1" applyFill="1" applyBorder="1" applyAlignment="1" applyProtection="1">
      <alignment horizontal="center" vertical="center"/>
      <protection hidden="1"/>
    </xf>
    <xf numFmtId="0" fontId="28" fillId="3" borderId="7" xfId="0" applyFont="1" applyFill="1" applyBorder="1" applyAlignment="1" applyProtection="1">
      <alignment vertical="center"/>
      <protection hidden="1"/>
    </xf>
    <xf numFmtId="183" fontId="4" fillId="8" borderId="5" xfId="0" applyNumberFormat="1" applyFont="1" applyFill="1" applyBorder="1" applyAlignment="1" applyProtection="1">
      <alignment horizontal="center" vertical="center"/>
      <protection hidden="1"/>
    </xf>
    <xf numFmtId="184" fontId="4" fillId="8" borderId="5" xfId="0" applyNumberFormat="1" applyFont="1" applyFill="1" applyBorder="1" applyAlignment="1" applyProtection="1">
      <alignment horizontal="center" vertical="center"/>
      <protection hidden="1"/>
    </xf>
    <xf numFmtId="182" fontId="4" fillId="3" borderId="0" xfId="0" applyNumberFormat="1" applyFont="1" applyFill="1" applyAlignment="1" applyProtection="1">
      <alignment horizontal="center" vertical="center"/>
      <protection hidden="1"/>
    </xf>
    <xf numFmtId="186" fontId="4" fillId="8" borderId="11" xfId="0" applyNumberFormat="1" applyFont="1" applyFill="1" applyBorder="1" applyAlignment="1" applyProtection="1">
      <alignment horizontal="center" vertical="center"/>
      <protection hidden="1"/>
    </xf>
    <xf numFmtId="0" fontId="4" fillId="8" borderId="12" xfId="0" applyFont="1" applyFill="1" applyBorder="1" applyAlignment="1" applyProtection="1">
      <alignment horizontal="center" vertical="center"/>
      <protection hidden="1"/>
    </xf>
    <xf numFmtId="178" fontId="4" fillId="8" borderId="13" xfId="0" applyNumberFormat="1" applyFont="1" applyFill="1" applyBorder="1" applyAlignment="1" applyProtection="1">
      <alignment horizontal="center" vertical="center"/>
      <protection hidden="1"/>
    </xf>
    <xf numFmtId="185" fontId="4" fillId="8" borderId="11" xfId="0" applyNumberFormat="1" applyFont="1" applyFill="1" applyBorder="1" applyAlignment="1" applyProtection="1">
      <alignment horizontal="center" vertical="center"/>
      <protection hidden="1"/>
    </xf>
    <xf numFmtId="182" fontId="4" fillId="8" borderId="9" xfId="0" applyNumberFormat="1" applyFont="1" applyFill="1" applyBorder="1" applyAlignment="1" applyProtection="1">
      <alignment horizontal="center" vertical="center"/>
      <protection hidden="1"/>
    </xf>
    <xf numFmtId="1" fontId="5" fillId="14" borderId="3" xfId="0" applyNumberFormat="1" applyFont="1" applyFill="1" applyBorder="1" applyAlignment="1" applyProtection="1">
      <alignment horizontal="center" vertical="center"/>
      <protection hidden="1"/>
    </xf>
    <xf numFmtId="49" fontId="5" fillId="14" borderId="3" xfId="0" applyNumberFormat="1" applyFont="1" applyFill="1" applyBorder="1" applyAlignment="1" applyProtection="1">
      <alignment vertical="center"/>
      <protection hidden="1"/>
    </xf>
    <xf numFmtId="1" fontId="4" fillId="14" borderId="1" xfId="0" applyNumberFormat="1" applyFont="1" applyFill="1" applyBorder="1" applyAlignment="1" applyProtection="1">
      <alignment horizontal="center" vertical="center"/>
      <protection locked="0"/>
    </xf>
    <xf numFmtId="49" fontId="4" fillId="14" borderId="3" xfId="0" applyNumberFormat="1" applyFont="1" applyFill="1" applyBorder="1" applyAlignment="1" applyProtection="1">
      <alignment vertical="center"/>
      <protection locked="0"/>
    </xf>
    <xf numFmtId="187" fontId="21" fillId="16" borderId="5" xfId="0" applyNumberFormat="1" applyFont="1" applyFill="1" applyBorder="1" applyAlignment="1" applyProtection="1">
      <alignment horizontal="center" vertical="center"/>
      <protection locked="0"/>
    </xf>
    <xf numFmtId="188" fontId="21" fillId="16" borderId="5" xfId="0" applyNumberFormat="1" applyFont="1" applyFill="1" applyBorder="1" applyAlignment="1" applyProtection="1">
      <alignment horizontal="center" vertical="center"/>
      <protection locked="0"/>
    </xf>
    <xf numFmtId="189" fontId="21" fillId="16" borderId="5" xfId="0" applyNumberFormat="1" applyFont="1" applyFill="1" applyBorder="1" applyAlignment="1" applyProtection="1">
      <alignment horizontal="center" vertical="center"/>
      <protection locked="0"/>
    </xf>
    <xf numFmtId="178" fontId="4" fillId="0" borderId="5" xfId="0" applyNumberFormat="1" applyFont="1" applyBorder="1" applyAlignment="1" applyProtection="1">
      <alignment horizontal="center" vertical="center"/>
      <protection hidden="1"/>
    </xf>
    <xf numFmtId="0" fontId="4" fillId="0" borderId="0" xfId="0" applyFont="1" applyAlignment="1" applyProtection="1">
      <alignment horizontal="center" vertical="center"/>
      <protection hidden="1"/>
    </xf>
    <xf numFmtId="186" fontId="4" fillId="8" borderId="5" xfId="0" applyNumberFormat="1" applyFont="1" applyFill="1" applyBorder="1" applyAlignment="1" applyProtection="1">
      <alignment horizontal="center" vertical="center"/>
      <protection hidden="1"/>
    </xf>
    <xf numFmtId="185" fontId="4" fillId="8" borderId="5" xfId="0" applyNumberFormat="1" applyFont="1" applyFill="1" applyBorder="1" applyAlignment="1" applyProtection="1">
      <alignment horizontal="center" vertical="center"/>
      <protection hidden="1"/>
    </xf>
    <xf numFmtId="1" fontId="0" fillId="0" borderId="0" xfId="0" applyNumberFormat="1"/>
    <xf numFmtId="2" fontId="0" fillId="0" borderId="0" xfId="0" applyNumberFormat="1" applyAlignment="1">
      <alignment horizontal="center" vertical="center"/>
    </xf>
    <xf numFmtId="1" fontId="4" fillId="14" borderId="3" xfId="0" applyNumberFormat="1" applyFont="1" applyFill="1" applyBorder="1" applyAlignment="1" applyProtection="1">
      <alignment horizontal="center" vertical="center"/>
      <protection locked="0"/>
    </xf>
    <xf numFmtId="0" fontId="32" fillId="5" borderId="1" xfId="0" applyFont="1" applyFill="1" applyBorder="1" applyAlignment="1" applyProtection="1">
      <alignment horizontal="center" vertical="center"/>
      <protection hidden="1"/>
    </xf>
    <xf numFmtId="0" fontId="23" fillId="0" borderId="0" xfId="0" applyFont="1" applyAlignment="1">
      <alignment horizontal="center"/>
    </xf>
    <xf numFmtId="0" fontId="19" fillId="5" borderId="1" xfId="0" applyFont="1" applyFill="1" applyBorder="1" applyAlignment="1" applyProtection="1">
      <alignment horizontal="center" vertical="center"/>
      <protection hidden="1"/>
    </xf>
    <xf numFmtId="176" fontId="4" fillId="4" borderId="0" xfId="0" applyNumberFormat="1" applyFont="1" applyFill="1" applyAlignment="1" applyProtection="1">
      <alignment horizontal="center" vertical="center"/>
      <protection hidden="1"/>
    </xf>
    <xf numFmtId="0" fontId="0" fillId="0" borderId="0" xfId="0" applyAlignment="1">
      <alignment horizontal="right" vertical="center"/>
    </xf>
    <xf numFmtId="191" fontId="0" fillId="0" borderId="0" xfId="0" applyNumberFormat="1" applyAlignment="1">
      <alignment horizontal="center"/>
    </xf>
    <xf numFmtId="185" fontId="0" fillId="0" borderId="0" xfId="0" applyNumberFormat="1" applyAlignment="1">
      <alignment horizontal="center"/>
    </xf>
    <xf numFmtId="0" fontId="30" fillId="18" borderId="0" xfId="0" applyFont="1" applyFill="1" applyAlignment="1">
      <alignment horizontal="center"/>
    </xf>
    <xf numFmtId="0" fontId="18" fillId="0" borderId="0" xfId="0" applyFont="1"/>
    <xf numFmtId="177" fontId="0" fillId="0" borderId="0" xfId="0" applyNumberFormat="1" applyAlignment="1">
      <alignment horizontal="center"/>
    </xf>
    <xf numFmtId="0" fontId="18" fillId="0" borderId="0" xfId="0" applyFont="1" applyAlignment="1">
      <alignment horizontal="center"/>
    </xf>
    <xf numFmtId="177" fontId="18" fillId="0" borderId="0" xfId="0" applyNumberFormat="1" applyFont="1"/>
    <xf numFmtId="1" fontId="18" fillId="0" borderId="0" xfId="0" applyNumberFormat="1" applyFont="1"/>
    <xf numFmtId="1" fontId="18" fillId="0" borderId="0" xfId="0" applyNumberFormat="1" applyFont="1" applyAlignment="1">
      <alignment horizontal="center"/>
    </xf>
    <xf numFmtId="1" fontId="0" fillId="0" borderId="0" xfId="0" applyNumberFormat="1" applyAlignment="1">
      <alignment horizontal="center" vertical="center"/>
    </xf>
    <xf numFmtId="0" fontId="36" fillId="0" borderId="0" xfId="0" applyFont="1" applyAlignment="1">
      <alignment horizontal="center"/>
    </xf>
    <xf numFmtId="192" fontId="4" fillId="3" borderId="0" xfId="0" applyNumberFormat="1" applyFont="1" applyFill="1" applyAlignment="1" applyProtection="1">
      <alignment horizontal="center" vertical="center"/>
      <protection hidden="1"/>
    </xf>
    <xf numFmtId="192" fontId="4" fillId="3" borderId="0" xfId="0" applyNumberFormat="1" applyFont="1" applyFill="1" applyAlignment="1" applyProtection="1">
      <alignment vertical="center"/>
      <protection hidden="1"/>
    </xf>
    <xf numFmtId="0" fontId="41" fillId="0" borderId="0" xfId="0" applyFont="1" applyAlignment="1">
      <alignment vertical="top" wrapText="1"/>
    </xf>
    <xf numFmtId="0" fontId="51" fillId="0" borderId="18" xfId="0" applyFont="1" applyBorder="1" applyAlignment="1">
      <alignment horizontal="center" vertical="top" wrapText="1"/>
    </xf>
    <xf numFmtId="0" fontId="53" fillId="0" borderId="18" xfId="0" applyFont="1" applyBorder="1" applyAlignment="1">
      <alignment horizontal="center" vertical="top" wrapText="1"/>
    </xf>
    <xf numFmtId="177" fontId="52" fillId="0" borderId="18" xfId="0" applyNumberFormat="1" applyFont="1" applyBorder="1" applyAlignment="1">
      <alignment horizontal="center" vertical="top" shrinkToFit="1"/>
    </xf>
    <xf numFmtId="0" fontId="53" fillId="0" borderId="18" xfId="0" applyFont="1" applyBorder="1" applyAlignment="1">
      <alignment horizontal="center" vertical="center" wrapText="1"/>
    </xf>
    <xf numFmtId="177" fontId="52" fillId="0" borderId="18" xfId="0" applyNumberFormat="1" applyFont="1" applyBorder="1" applyAlignment="1">
      <alignment horizontal="center" vertical="center" shrinkToFit="1"/>
    </xf>
    <xf numFmtId="0" fontId="52" fillId="0" borderId="18" xfId="0" applyFont="1" applyBorder="1" applyAlignment="1">
      <alignment horizontal="center" vertical="center" wrapText="1"/>
    </xf>
    <xf numFmtId="0" fontId="54" fillId="0" borderId="25" xfId="0" applyFont="1" applyBorder="1" applyAlignment="1">
      <alignment horizontal="center" vertical="center"/>
    </xf>
    <xf numFmtId="0" fontId="4" fillId="14" borderId="1" xfId="0" applyFont="1" applyFill="1" applyBorder="1" applyAlignment="1" applyProtection="1">
      <alignment horizontal="center" vertical="center"/>
      <protection locked="0"/>
    </xf>
    <xf numFmtId="193" fontId="4" fillId="4" borderId="5" xfId="0" applyNumberFormat="1" applyFont="1" applyFill="1" applyBorder="1" applyAlignment="1" applyProtection="1">
      <alignment horizontal="center" vertical="center"/>
      <protection hidden="1"/>
    </xf>
    <xf numFmtId="185" fontId="4" fillId="4" borderId="5" xfId="0" applyNumberFormat="1" applyFont="1" applyFill="1" applyBorder="1" applyAlignment="1" applyProtection="1">
      <alignment horizontal="center" vertical="center"/>
      <protection hidden="1"/>
    </xf>
    <xf numFmtId="184" fontId="4" fillId="4" borderId="5" xfId="0" applyNumberFormat="1" applyFont="1" applyFill="1" applyBorder="1" applyAlignment="1" applyProtection="1">
      <alignment horizontal="center" vertical="center"/>
      <protection hidden="1"/>
    </xf>
    <xf numFmtId="194" fontId="4" fillId="8" borderId="5" xfId="0" applyNumberFormat="1" applyFont="1" applyFill="1" applyBorder="1" applyAlignment="1" applyProtection="1">
      <alignment horizontal="center" vertical="center"/>
      <protection hidden="1"/>
    </xf>
    <xf numFmtId="195" fontId="4" fillId="4" borderId="5" xfId="0" applyNumberFormat="1" applyFont="1" applyFill="1" applyBorder="1" applyAlignment="1" applyProtection="1">
      <alignment horizontal="center" vertical="center"/>
      <protection hidden="1"/>
    </xf>
    <xf numFmtId="196" fontId="21" fillId="16" borderId="5" xfId="0" applyNumberFormat="1" applyFont="1" applyFill="1" applyBorder="1" applyAlignment="1" applyProtection="1">
      <alignment horizontal="center" vertical="center"/>
      <protection locked="0"/>
    </xf>
    <xf numFmtId="2" fontId="4" fillId="3" borderId="0" xfId="0" applyNumberFormat="1" applyFont="1" applyFill="1" applyAlignment="1" applyProtection="1">
      <alignment horizontal="center" vertical="center"/>
      <protection hidden="1"/>
    </xf>
    <xf numFmtId="187" fontId="4" fillId="3" borderId="0" xfId="0" applyNumberFormat="1" applyFont="1" applyFill="1" applyAlignment="1" applyProtection="1">
      <alignment horizontal="center" vertical="center"/>
      <protection hidden="1"/>
    </xf>
    <xf numFmtId="197" fontId="4" fillId="8" borderId="5" xfId="0" applyNumberFormat="1" applyFont="1" applyFill="1" applyBorder="1" applyAlignment="1" applyProtection="1">
      <alignment horizontal="center" vertical="center"/>
      <protection hidden="1"/>
    </xf>
    <xf numFmtId="1" fontId="4" fillId="8" borderId="5" xfId="0" applyNumberFormat="1" applyFont="1" applyFill="1" applyBorder="1" applyAlignment="1" applyProtection="1">
      <alignment horizontal="center" vertical="center"/>
      <protection hidden="1"/>
    </xf>
    <xf numFmtId="0" fontId="57" fillId="4" borderId="4" xfId="0" applyFont="1" applyFill="1" applyBorder="1" applyAlignment="1" applyProtection="1">
      <alignment horizontal="center"/>
      <protection hidden="1"/>
    </xf>
    <xf numFmtId="0" fontId="4" fillId="0" borderId="4" xfId="0" applyFont="1" applyBorder="1" applyAlignment="1" applyProtection="1">
      <alignment horizontal="right" vertical="center"/>
      <protection hidden="1"/>
    </xf>
    <xf numFmtId="0" fontId="4" fillId="0" borderId="5" xfId="0" applyFont="1" applyBorder="1" applyAlignment="1" applyProtection="1">
      <alignment horizontal="right" vertical="center"/>
      <protection hidden="1"/>
    </xf>
    <xf numFmtId="0" fontId="4" fillId="0" borderId="7" xfId="0" applyFont="1" applyBorder="1" applyAlignment="1" applyProtection="1">
      <alignment vertical="center"/>
      <protection hidden="1"/>
    </xf>
    <xf numFmtId="168" fontId="4" fillId="0" borderId="5" xfId="0" applyNumberFormat="1" applyFont="1" applyBorder="1" applyAlignment="1" applyProtection="1">
      <alignment horizontal="center" vertical="center"/>
      <protection hidden="1"/>
    </xf>
    <xf numFmtId="0" fontId="4" fillId="0" borderId="5" xfId="0" applyFont="1" applyBorder="1" applyAlignment="1" applyProtection="1">
      <alignment horizontal="center" vertical="center"/>
      <protection hidden="1"/>
    </xf>
    <xf numFmtId="0" fontId="4" fillId="0" borderId="0" xfId="0" applyFont="1" applyAlignment="1" applyProtection="1">
      <alignment vertical="center"/>
      <protection hidden="1"/>
    </xf>
    <xf numFmtId="177" fontId="4" fillId="14" borderId="3" xfId="0" applyNumberFormat="1" applyFont="1" applyFill="1" applyBorder="1" applyAlignment="1" applyProtection="1">
      <alignment horizontal="center" vertical="center"/>
      <protection locked="0"/>
    </xf>
    <xf numFmtId="0" fontId="4" fillId="8" borderId="11" xfId="0" applyFont="1" applyFill="1" applyBorder="1" applyAlignment="1" applyProtection="1">
      <alignment horizontal="center" vertical="center"/>
      <protection hidden="1"/>
    </xf>
    <xf numFmtId="198" fontId="4" fillId="8" borderId="5" xfId="0" applyNumberFormat="1" applyFont="1" applyFill="1" applyBorder="1" applyAlignment="1" applyProtection="1">
      <alignment horizontal="center" vertical="center"/>
      <protection hidden="1"/>
    </xf>
    <xf numFmtId="0" fontId="4" fillId="0" borderId="4" xfId="0" applyFont="1" applyBorder="1" applyAlignment="1" applyProtection="1">
      <alignment horizontal="center" vertical="center"/>
      <protection hidden="1"/>
    </xf>
    <xf numFmtId="176" fontId="21" fillId="14" borderId="5" xfId="0" applyNumberFormat="1" applyFont="1" applyFill="1" applyBorder="1" applyAlignment="1" applyProtection="1">
      <alignment horizontal="center" vertical="center"/>
      <protection locked="0"/>
    </xf>
    <xf numFmtId="2" fontId="4" fillId="4" borderId="5" xfId="0" applyNumberFormat="1" applyFont="1" applyFill="1" applyBorder="1" applyAlignment="1" applyProtection="1">
      <alignment horizontal="center" vertical="center"/>
      <protection hidden="1"/>
    </xf>
    <xf numFmtId="1" fontId="23" fillId="0" borderId="0" xfId="0" applyNumberFormat="1" applyFont="1" applyAlignment="1">
      <alignment horizontal="center"/>
    </xf>
    <xf numFmtId="0" fontId="0" fillId="0" borderId="29" xfId="0" applyBorder="1" applyAlignment="1">
      <alignment horizontal="center"/>
    </xf>
    <xf numFmtId="164" fontId="16" fillId="0" borderId="30" xfId="0" applyNumberFormat="1" applyFont="1" applyBorder="1" applyAlignment="1">
      <alignment horizontal="center"/>
    </xf>
    <xf numFmtId="164" fontId="16" fillId="0" borderId="33" xfId="0" applyNumberFormat="1" applyFont="1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35" xfId="0" applyBorder="1" applyAlignment="1">
      <alignment horizontal="center"/>
    </xf>
    <xf numFmtId="164" fontId="16" fillId="0" borderId="36" xfId="0" applyNumberFormat="1" applyFont="1" applyBorder="1" applyAlignment="1">
      <alignment horizontal="center"/>
    </xf>
    <xf numFmtId="0" fontId="0" fillId="0" borderId="36" xfId="0" applyBorder="1" applyAlignment="1">
      <alignment horizontal="center"/>
    </xf>
    <xf numFmtId="0" fontId="0" fillId="0" borderId="35" xfId="0" applyBorder="1"/>
    <xf numFmtId="0" fontId="0" fillId="0" borderId="38" xfId="0" applyBorder="1" applyAlignment="1">
      <alignment horizontal="center"/>
    </xf>
    <xf numFmtId="0" fontId="0" fillId="0" borderId="39" xfId="0" applyBorder="1" applyAlignment="1">
      <alignment horizontal="center"/>
    </xf>
    <xf numFmtId="0" fontId="0" fillId="0" borderId="38" xfId="0" applyBorder="1"/>
    <xf numFmtId="164" fontId="16" fillId="0" borderId="35" xfId="0" applyNumberFormat="1" applyFont="1" applyBorder="1" applyAlignment="1">
      <alignment horizontal="center"/>
    </xf>
    <xf numFmtId="192" fontId="4" fillId="4" borderId="5" xfId="0" applyNumberFormat="1" applyFont="1" applyFill="1" applyBorder="1" applyAlignment="1" applyProtection="1">
      <alignment horizontal="center" vertical="center"/>
      <protection hidden="1"/>
    </xf>
    <xf numFmtId="0" fontId="0" fillId="0" borderId="32" xfId="0" applyBorder="1" applyAlignment="1">
      <alignment horizontal="center"/>
    </xf>
    <xf numFmtId="178" fontId="4" fillId="4" borderId="5" xfId="0" applyNumberFormat="1" applyFont="1" applyFill="1" applyBorder="1" applyAlignment="1" applyProtection="1">
      <alignment horizontal="center" vertical="center"/>
      <protection hidden="1"/>
    </xf>
    <xf numFmtId="183" fontId="4" fillId="4" borderId="5" xfId="0" applyNumberFormat="1" applyFont="1" applyFill="1" applyBorder="1" applyAlignment="1" applyProtection="1">
      <alignment horizontal="center" vertical="center"/>
      <protection hidden="1"/>
    </xf>
    <xf numFmtId="164" fontId="23" fillId="0" borderId="30" xfId="0" applyNumberFormat="1" applyFont="1" applyBorder="1" applyAlignment="1">
      <alignment horizontal="center"/>
    </xf>
    <xf numFmtId="0" fontId="0" fillId="0" borderId="32" xfId="0" applyBorder="1"/>
    <xf numFmtId="164" fontId="23" fillId="0" borderId="36" xfId="0" applyNumberFormat="1" applyFont="1" applyBorder="1" applyAlignment="1">
      <alignment horizontal="center"/>
    </xf>
    <xf numFmtId="164" fontId="0" fillId="0" borderId="0" xfId="0" applyNumberFormat="1" applyAlignment="1">
      <alignment horizontal="center"/>
    </xf>
    <xf numFmtId="0" fontId="4" fillId="0" borderId="40" xfId="0" applyFont="1" applyBorder="1" applyAlignment="1" applyProtection="1">
      <alignment horizontal="center" vertical="center"/>
      <protection hidden="1"/>
    </xf>
    <xf numFmtId="0" fontId="3" fillId="0" borderId="9" xfId="0" applyFont="1" applyBorder="1" applyAlignment="1" applyProtection="1">
      <alignment vertical="center"/>
      <protection hidden="1"/>
    </xf>
    <xf numFmtId="186" fontId="4" fillId="4" borderId="5" xfId="0" applyNumberFormat="1" applyFont="1" applyFill="1" applyBorder="1" applyAlignment="1" applyProtection="1">
      <alignment horizontal="center" vertical="center"/>
      <protection hidden="1"/>
    </xf>
    <xf numFmtId="0" fontId="4" fillId="0" borderId="5" xfId="0" applyFont="1" applyBorder="1" applyAlignment="1" applyProtection="1">
      <alignment vertical="center"/>
      <protection hidden="1"/>
    </xf>
    <xf numFmtId="186" fontId="4" fillId="0" borderId="5" xfId="0" applyNumberFormat="1" applyFont="1" applyBorder="1" applyAlignment="1" applyProtection="1">
      <alignment vertical="center"/>
      <protection hidden="1"/>
    </xf>
    <xf numFmtId="185" fontId="4" fillId="0" borderId="5" xfId="0" applyNumberFormat="1" applyFont="1" applyBorder="1" applyAlignment="1" applyProtection="1">
      <alignment vertical="center"/>
      <protection hidden="1"/>
    </xf>
    <xf numFmtId="184" fontId="4" fillId="0" borderId="9" xfId="0" applyNumberFormat="1" applyFont="1" applyBorder="1" applyAlignment="1" applyProtection="1">
      <alignment vertical="center"/>
      <protection hidden="1"/>
    </xf>
    <xf numFmtId="2" fontId="4" fillId="0" borderId="5" xfId="0" applyNumberFormat="1" applyFont="1" applyBorder="1" applyAlignment="1" applyProtection="1">
      <alignment vertical="center"/>
      <protection hidden="1"/>
    </xf>
    <xf numFmtId="178" fontId="4" fillId="0" borderId="5" xfId="0" applyNumberFormat="1" applyFont="1" applyBorder="1" applyAlignment="1" applyProtection="1">
      <alignment vertical="center"/>
      <protection hidden="1"/>
    </xf>
    <xf numFmtId="0" fontId="3" fillId="0" borderId="11" xfId="0" applyFont="1" applyBorder="1" applyAlignment="1" applyProtection="1">
      <alignment horizontal="center" vertical="center"/>
      <protection hidden="1"/>
    </xf>
    <xf numFmtId="187" fontId="25" fillId="8" borderId="5" xfId="0" applyNumberFormat="1" applyFont="1" applyFill="1" applyBorder="1" applyAlignment="1" applyProtection="1">
      <alignment horizontal="center" vertical="center"/>
      <protection hidden="1"/>
    </xf>
    <xf numFmtId="200" fontId="4" fillId="4" borderId="5" xfId="0" applyNumberFormat="1" applyFont="1" applyFill="1" applyBorder="1" applyAlignment="1" applyProtection="1">
      <alignment horizontal="center" vertical="center"/>
      <protection hidden="1"/>
    </xf>
    <xf numFmtId="192" fontId="25" fillId="4" borderId="5" xfId="0" applyNumberFormat="1" applyFont="1" applyFill="1" applyBorder="1" applyAlignment="1" applyProtection="1">
      <alignment horizontal="center" vertical="center"/>
      <protection hidden="1"/>
    </xf>
    <xf numFmtId="201" fontId="4" fillId="8" borderId="5" xfId="0" applyNumberFormat="1" applyFont="1" applyFill="1" applyBorder="1" applyAlignment="1" applyProtection="1">
      <alignment horizontal="center" vertical="center"/>
      <protection hidden="1"/>
    </xf>
    <xf numFmtId="194" fontId="4" fillId="4" borderId="5" xfId="0" applyNumberFormat="1" applyFont="1" applyFill="1" applyBorder="1" applyAlignment="1" applyProtection="1">
      <alignment horizontal="center" vertical="center"/>
      <protection hidden="1"/>
    </xf>
    <xf numFmtId="0" fontId="23" fillId="0" borderId="0" xfId="0" applyFont="1"/>
    <xf numFmtId="0" fontId="17" fillId="0" borderId="0" xfId="0" applyFont="1" applyAlignment="1">
      <alignment horizontal="center"/>
    </xf>
    <xf numFmtId="1" fontId="4" fillId="0" borderId="0" xfId="0" applyNumberFormat="1" applyFont="1" applyAlignment="1" applyProtection="1">
      <alignment horizontal="center" vertical="center"/>
      <protection locked="0"/>
    </xf>
    <xf numFmtId="2" fontId="0" fillId="0" borderId="32" xfId="0" applyNumberFormat="1" applyBorder="1" applyAlignment="1">
      <alignment horizontal="center"/>
    </xf>
    <xf numFmtId="199" fontId="4" fillId="4" borderId="5" xfId="0" applyNumberFormat="1" applyFont="1" applyFill="1" applyBorder="1" applyAlignment="1" applyProtection="1">
      <alignment horizontal="center" vertical="center"/>
      <protection hidden="1"/>
    </xf>
    <xf numFmtId="190" fontId="4" fillId="4" borderId="5" xfId="0" applyNumberFormat="1" applyFont="1" applyFill="1" applyBorder="1" applyAlignment="1" applyProtection="1">
      <alignment horizontal="center" vertical="center"/>
      <protection hidden="1"/>
    </xf>
    <xf numFmtId="187" fontId="4" fillId="4" borderId="5" xfId="0" applyNumberFormat="1" applyFont="1" applyFill="1" applyBorder="1" applyAlignment="1" applyProtection="1">
      <alignment horizontal="center" vertical="center"/>
      <protection hidden="1"/>
    </xf>
    <xf numFmtId="189" fontId="4" fillId="4" borderId="5" xfId="0" applyNumberFormat="1" applyFont="1" applyFill="1" applyBorder="1" applyAlignment="1" applyProtection="1">
      <alignment horizontal="center" vertical="center"/>
      <protection hidden="1"/>
    </xf>
    <xf numFmtId="196" fontId="4" fillId="4" borderId="5" xfId="0" applyNumberFormat="1" applyFont="1" applyFill="1" applyBorder="1" applyAlignment="1" applyProtection="1">
      <alignment horizontal="center" vertical="center"/>
      <protection hidden="1"/>
    </xf>
    <xf numFmtId="181" fontId="4" fillId="4" borderId="5" xfId="0" applyNumberFormat="1" applyFont="1" applyFill="1" applyBorder="1" applyAlignment="1" applyProtection="1">
      <alignment horizontal="center" vertical="center"/>
      <protection hidden="1"/>
    </xf>
    <xf numFmtId="9" fontId="4" fillId="4" borderId="5" xfId="1" applyFont="1" applyFill="1" applyBorder="1" applyAlignment="1" applyProtection="1">
      <alignment horizontal="center" vertical="center"/>
      <protection hidden="1"/>
    </xf>
    <xf numFmtId="188" fontId="4" fillId="4" borderId="5" xfId="0" applyNumberFormat="1" applyFont="1" applyFill="1" applyBorder="1" applyAlignment="1" applyProtection="1">
      <alignment horizontal="center" vertical="center"/>
      <protection hidden="1"/>
    </xf>
    <xf numFmtId="0" fontId="3" fillId="3" borderId="0" xfId="0" applyFont="1" applyFill="1" applyAlignment="1" applyProtection="1">
      <alignment horizontal="center" vertical="center"/>
      <protection hidden="1"/>
    </xf>
    <xf numFmtId="199" fontId="4" fillId="3" borderId="0" xfId="0" applyNumberFormat="1" applyFont="1" applyFill="1" applyAlignment="1" applyProtection="1">
      <alignment horizontal="center" vertical="center"/>
      <protection hidden="1"/>
    </xf>
    <xf numFmtId="190" fontId="4" fillId="3" borderId="0" xfId="0" applyNumberFormat="1" applyFont="1" applyFill="1" applyAlignment="1" applyProtection="1">
      <alignment horizontal="center" vertical="center"/>
      <protection hidden="1"/>
    </xf>
    <xf numFmtId="184" fontId="4" fillId="3" borderId="0" xfId="0" applyNumberFormat="1" applyFont="1" applyFill="1" applyAlignment="1" applyProtection="1">
      <alignment horizontal="center" vertical="center"/>
      <protection hidden="1"/>
    </xf>
    <xf numFmtId="193" fontId="4" fillId="3" borderId="0" xfId="0" applyNumberFormat="1" applyFont="1" applyFill="1" applyAlignment="1" applyProtection="1">
      <alignment horizontal="center" vertical="center"/>
      <protection hidden="1"/>
    </xf>
    <xf numFmtId="9" fontId="4" fillId="3" borderId="0" xfId="1" applyFont="1" applyFill="1" applyBorder="1" applyAlignment="1" applyProtection="1">
      <alignment horizontal="center" vertical="center"/>
      <protection hidden="1"/>
    </xf>
    <xf numFmtId="181" fontId="4" fillId="3" borderId="0" xfId="0" applyNumberFormat="1" applyFont="1" applyFill="1" applyAlignment="1" applyProtection="1">
      <alignment horizontal="center" vertical="center"/>
      <protection hidden="1"/>
    </xf>
    <xf numFmtId="188" fontId="4" fillId="3" borderId="0" xfId="0" applyNumberFormat="1" applyFont="1" applyFill="1" applyAlignment="1" applyProtection="1">
      <alignment horizontal="center" vertical="center"/>
      <protection hidden="1"/>
    </xf>
    <xf numFmtId="189" fontId="4" fillId="3" borderId="0" xfId="0" applyNumberFormat="1" applyFont="1" applyFill="1" applyAlignment="1" applyProtection="1">
      <alignment horizontal="center" vertical="center"/>
      <protection hidden="1"/>
    </xf>
    <xf numFmtId="196" fontId="4" fillId="3" borderId="0" xfId="0" applyNumberFormat="1" applyFont="1" applyFill="1" applyAlignment="1" applyProtection="1">
      <alignment horizontal="center" vertical="center"/>
      <protection hidden="1"/>
    </xf>
    <xf numFmtId="1" fontId="4" fillId="4" borderId="5" xfId="0" applyNumberFormat="1" applyFont="1" applyFill="1" applyBorder="1" applyAlignment="1" applyProtection="1">
      <alignment horizontal="center" vertical="center"/>
      <protection hidden="1"/>
    </xf>
    <xf numFmtId="0" fontId="0" fillId="3" borderId="0" xfId="0" applyFill="1" applyAlignment="1">
      <alignment horizontal="center"/>
    </xf>
    <xf numFmtId="49" fontId="0" fillId="3" borderId="0" xfId="0" applyNumberFormat="1" applyFill="1" applyAlignment="1">
      <alignment horizontal="left"/>
    </xf>
    <xf numFmtId="0" fontId="0" fillId="3" borderId="0" xfId="0" applyFill="1"/>
    <xf numFmtId="0" fontId="0" fillId="3" borderId="32" xfId="0" applyFill="1" applyBorder="1" applyAlignment="1">
      <alignment horizontal="center"/>
    </xf>
    <xf numFmtId="0" fontId="0" fillId="3" borderId="32" xfId="0" applyFill="1" applyBorder="1"/>
    <xf numFmtId="0" fontId="0" fillId="3" borderId="39" xfId="0" applyFill="1" applyBorder="1" applyAlignment="1">
      <alignment horizontal="center"/>
    </xf>
    <xf numFmtId="0" fontId="0" fillId="3" borderId="36" xfId="0" applyFill="1" applyBorder="1" applyAlignment="1">
      <alignment horizontal="center"/>
    </xf>
    <xf numFmtId="0" fontId="0" fillId="3" borderId="32" xfId="0" applyFill="1" applyBorder="1" applyAlignment="1">
      <alignment horizontal="center" vertical="center"/>
    </xf>
    <xf numFmtId="0" fontId="0" fillId="3" borderId="35" xfId="0" applyFill="1" applyBorder="1" applyAlignment="1">
      <alignment horizontal="center" vertical="center"/>
    </xf>
    <xf numFmtId="0" fontId="0" fillId="3" borderId="0" xfId="0" applyFill="1" applyAlignment="1">
      <alignment horizontal="left"/>
    </xf>
    <xf numFmtId="2" fontId="0" fillId="3" borderId="0" xfId="0" applyNumberFormat="1" applyFill="1" applyAlignment="1">
      <alignment horizontal="center"/>
    </xf>
    <xf numFmtId="2" fontId="0" fillId="3" borderId="36" xfId="0" applyNumberFormat="1" applyFill="1" applyBorder="1" applyAlignment="1">
      <alignment horizontal="center"/>
    </xf>
    <xf numFmtId="0" fontId="23" fillId="3" borderId="0" xfId="0" applyFont="1" applyFill="1" applyAlignment="1">
      <alignment horizontal="left"/>
    </xf>
    <xf numFmtId="2" fontId="23" fillId="3" borderId="0" xfId="0" applyNumberFormat="1" applyFont="1" applyFill="1" applyAlignment="1">
      <alignment horizontal="center"/>
    </xf>
    <xf numFmtId="0" fontId="0" fillId="3" borderId="32" xfId="0" applyFill="1" applyBorder="1" applyAlignment="1">
      <alignment horizontal="left"/>
    </xf>
    <xf numFmtId="2" fontId="0" fillId="3" borderId="32" xfId="0" applyNumberFormat="1" applyFill="1" applyBorder="1" applyAlignment="1">
      <alignment horizontal="center"/>
    </xf>
    <xf numFmtId="2" fontId="0" fillId="3" borderId="35" xfId="0" applyNumberFormat="1" applyFill="1" applyBorder="1" applyAlignment="1">
      <alignment horizontal="center"/>
    </xf>
    <xf numFmtId="0" fontId="0" fillId="3" borderId="38" xfId="0" applyFill="1" applyBorder="1" applyAlignment="1">
      <alignment horizontal="center"/>
    </xf>
    <xf numFmtId="0" fontId="0" fillId="3" borderId="35" xfId="0" applyFill="1" applyBorder="1" applyAlignment="1">
      <alignment horizontal="center"/>
    </xf>
    <xf numFmtId="0" fontId="0" fillId="3" borderId="47" xfId="0" applyFill="1" applyBorder="1" applyAlignment="1">
      <alignment horizontal="center"/>
    </xf>
    <xf numFmtId="0" fontId="0" fillId="3" borderId="46" xfId="0" applyFill="1" applyBorder="1" applyAlignment="1">
      <alignment horizontal="center"/>
    </xf>
    <xf numFmtId="0" fontId="1" fillId="3" borderId="32" xfId="0" applyFont="1" applyFill="1" applyBorder="1" applyAlignment="1">
      <alignment horizontal="center"/>
    </xf>
    <xf numFmtId="166" fontId="0" fillId="3" borderId="36" xfId="0" applyNumberFormat="1" applyFill="1" applyBorder="1" applyAlignment="1">
      <alignment horizontal="center"/>
    </xf>
    <xf numFmtId="49" fontId="0" fillId="3" borderId="32" xfId="0" applyNumberFormat="1" applyFill="1" applyBorder="1" applyAlignment="1">
      <alignment horizontal="left"/>
    </xf>
    <xf numFmtId="166" fontId="0" fillId="3" borderId="35" xfId="0" applyNumberFormat="1" applyFill="1" applyBorder="1" applyAlignment="1">
      <alignment horizontal="center"/>
    </xf>
    <xf numFmtId="1" fontId="0" fillId="3" borderId="0" xfId="0" applyNumberFormat="1" applyFill="1" applyAlignment="1">
      <alignment horizontal="center"/>
    </xf>
    <xf numFmtId="1" fontId="0" fillId="3" borderId="32" xfId="0" applyNumberFormat="1" applyFill="1" applyBorder="1" applyAlignment="1">
      <alignment horizontal="center"/>
    </xf>
    <xf numFmtId="0" fontId="4" fillId="0" borderId="0" xfId="0" applyFont="1" applyAlignment="1" applyProtection="1">
      <alignment horizontal="right" vertical="center"/>
      <protection hidden="1"/>
    </xf>
    <xf numFmtId="0" fontId="4" fillId="0" borderId="0" xfId="0" applyFont="1" applyAlignment="1" applyProtection="1">
      <alignment horizontal="left" vertical="center"/>
      <protection hidden="1"/>
    </xf>
    <xf numFmtId="0" fontId="12" fillId="0" borderId="0" xfId="0" applyFont="1" applyAlignment="1" applyProtection="1">
      <alignment vertical="center"/>
      <protection hidden="1"/>
    </xf>
    <xf numFmtId="0" fontId="4" fillId="4" borderId="1" xfId="0" applyFont="1" applyFill="1" applyBorder="1" applyAlignment="1" applyProtection="1">
      <alignment horizontal="center" vertical="center"/>
      <protection hidden="1"/>
    </xf>
    <xf numFmtId="0" fontId="4" fillId="8" borderId="1" xfId="0" applyFont="1" applyFill="1" applyBorder="1" applyAlignment="1" applyProtection="1">
      <alignment horizontal="center" vertical="center"/>
      <protection hidden="1"/>
    </xf>
    <xf numFmtId="0" fontId="4" fillId="4" borderId="7" xfId="0" applyFont="1" applyFill="1" applyBorder="1" applyAlignment="1" applyProtection="1">
      <alignment horizontal="center" vertical="center"/>
      <protection hidden="1"/>
    </xf>
    <xf numFmtId="0" fontId="4" fillId="4" borderId="6" xfId="0" applyFont="1" applyFill="1" applyBorder="1" applyAlignment="1" applyProtection="1">
      <alignment horizontal="center" vertical="center"/>
      <protection hidden="1"/>
    </xf>
    <xf numFmtId="0" fontId="57" fillId="4" borderId="1" xfId="0" applyFont="1" applyFill="1" applyBorder="1" applyAlignment="1" applyProtection="1">
      <alignment horizontal="center"/>
      <protection hidden="1"/>
    </xf>
    <xf numFmtId="0" fontId="4" fillId="8" borderId="3" xfId="0" applyFont="1" applyFill="1" applyBorder="1" applyAlignment="1" applyProtection="1">
      <alignment horizontal="center" vertical="center"/>
      <protection hidden="1"/>
    </xf>
    <xf numFmtId="0" fontId="25" fillId="8" borderId="1" xfId="0" applyFont="1" applyFill="1" applyBorder="1" applyAlignment="1" applyProtection="1">
      <alignment horizontal="center" vertical="center"/>
      <protection hidden="1"/>
    </xf>
    <xf numFmtId="0" fontId="25" fillId="4" borderId="1" xfId="0" applyFont="1" applyFill="1" applyBorder="1" applyAlignment="1" applyProtection="1">
      <alignment horizontal="center" vertical="center"/>
      <protection hidden="1"/>
    </xf>
    <xf numFmtId="0" fontId="62" fillId="8" borderId="4" xfId="0" applyFont="1" applyFill="1" applyBorder="1" applyAlignment="1" applyProtection="1">
      <alignment horizontal="right" vertical="center"/>
      <protection hidden="1"/>
    </xf>
    <xf numFmtId="176" fontId="63" fillId="20" borderId="5" xfId="0" applyNumberFormat="1" applyFont="1" applyFill="1" applyBorder="1" applyAlignment="1" applyProtection="1">
      <alignment horizontal="center" vertical="center"/>
      <protection locked="0"/>
    </xf>
    <xf numFmtId="174" fontId="21" fillId="4" borderId="5" xfId="0" applyNumberFormat="1" applyFont="1" applyFill="1" applyBorder="1" applyAlignment="1" applyProtection="1">
      <alignment horizontal="center" vertical="center"/>
      <protection hidden="1"/>
    </xf>
    <xf numFmtId="0" fontId="0" fillId="0" borderId="0" xfId="0" applyAlignment="1">
      <alignment vertical="center"/>
    </xf>
    <xf numFmtId="0" fontId="0" fillId="0" borderId="48" xfId="0" applyBorder="1" applyAlignment="1">
      <alignment horizontal="center" vertical="center"/>
    </xf>
    <xf numFmtId="0" fontId="0" fillId="0" borderId="0" xfId="0" applyAlignment="1">
      <alignment vertical="center" wrapText="1"/>
    </xf>
    <xf numFmtId="0" fontId="18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18" fillId="0" borderId="32" xfId="0" applyFont="1" applyBorder="1" applyAlignment="1">
      <alignment horizontal="center" vertical="center"/>
    </xf>
    <xf numFmtId="0" fontId="30" fillId="0" borderId="0" xfId="0" applyFont="1" applyAlignment="1">
      <alignment horizontal="center"/>
    </xf>
    <xf numFmtId="165" fontId="0" fillId="0" borderId="0" xfId="2" applyFont="1"/>
    <xf numFmtId="187" fontId="0" fillId="0" borderId="0" xfId="2" applyNumberFormat="1" applyFont="1" applyAlignment="1">
      <alignment horizontal="center" vertical="center"/>
    </xf>
    <xf numFmtId="187" fontId="0" fillId="0" borderId="0" xfId="2" applyNumberFormat="1" applyFont="1" applyBorder="1" applyAlignment="1">
      <alignment horizontal="center" vertical="center"/>
    </xf>
    <xf numFmtId="187" fontId="0" fillId="0" borderId="0" xfId="2" applyNumberFormat="1" applyFont="1"/>
    <xf numFmtId="0" fontId="0" fillId="0" borderId="39" xfId="0" applyBorder="1"/>
    <xf numFmtId="0" fontId="0" fillId="0" borderId="36" xfId="0" applyBorder="1"/>
    <xf numFmtId="0" fontId="0" fillId="21" borderId="0" xfId="0" applyFill="1"/>
    <xf numFmtId="0" fontId="69" fillId="21" borderId="0" xfId="0" applyFont="1" applyFill="1" applyAlignment="1" applyProtection="1">
      <alignment vertical="center"/>
      <protection hidden="1"/>
    </xf>
    <xf numFmtId="0" fontId="69" fillId="0" borderId="0" xfId="0" applyFont="1" applyAlignment="1" applyProtection="1">
      <alignment horizontal="center" vertical="center"/>
      <protection hidden="1"/>
    </xf>
    <xf numFmtId="178" fontId="69" fillId="0" borderId="0" xfId="0" applyNumberFormat="1" applyFont="1" applyAlignment="1" applyProtection="1">
      <alignment horizontal="center" vertical="center"/>
      <protection hidden="1"/>
    </xf>
    <xf numFmtId="0" fontId="69" fillId="3" borderId="0" xfId="0" applyFont="1" applyFill="1" applyAlignment="1" applyProtection="1">
      <alignment vertical="center"/>
      <protection hidden="1"/>
    </xf>
    <xf numFmtId="183" fontId="69" fillId="0" borderId="0" xfId="0" applyNumberFormat="1" applyFont="1" applyAlignment="1" applyProtection="1">
      <alignment horizontal="center" vertical="center"/>
      <protection hidden="1"/>
    </xf>
    <xf numFmtId="2" fontId="69" fillId="0" borderId="0" xfId="0" applyNumberFormat="1" applyFont="1" applyAlignment="1" applyProtection="1">
      <alignment horizontal="center" vertical="center"/>
      <protection hidden="1"/>
    </xf>
    <xf numFmtId="0" fontId="68" fillId="0" borderId="0" xfId="0" applyFont="1" applyAlignment="1" applyProtection="1">
      <alignment horizontal="center" vertical="center"/>
      <protection hidden="1"/>
    </xf>
    <xf numFmtId="186" fontId="69" fillId="0" borderId="0" xfId="0" applyNumberFormat="1" applyFont="1" applyAlignment="1" applyProtection="1">
      <alignment horizontal="center" vertical="center"/>
      <protection hidden="1"/>
    </xf>
    <xf numFmtId="185" fontId="69" fillId="0" borderId="0" xfId="0" applyNumberFormat="1" applyFont="1" applyAlignment="1" applyProtection="1">
      <alignment horizontal="center" vertical="center"/>
      <protection hidden="1"/>
    </xf>
    <xf numFmtId="194" fontId="69" fillId="0" borderId="0" xfId="0" applyNumberFormat="1" applyFont="1" applyAlignment="1" applyProtection="1">
      <alignment horizontal="center" vertical="center"/>
      <protection hidden="1"/>
    </xf>
    <xf numFmtId="192" fontId="69" fillId="0" borderId="0" xfId="0" applyNumberFormat="1" applyFont="1" applyAlignment="1" applyProtection="1">
      <alignment horizontal="center" vertical="center"/>
      <protection hidden="1"/>
    </xf>
    <xf numFmtId="184" fontId="69" fillId="0" borderId="0" xfId="0" applyNumberFormat="1" applyFont="1" applyAlignment="1" applyProtection="1">
      <alignment horizontal="center" vertical="center"/>
      <protection hidden="1"/>
    </xf>
    <xf numFmtId="177" fontId="69" fillId="0" borderId="0" xfId="0" applyNumberFormat="1" applyFont="1" applyAlignment="1" applyProtection="1">
      <alignment horizontal="center" vertical="center"/>
      <protection hidden="1"/>
    </xf>
    <xf numFmtId="169" fontId="69" fillId="0" borderId="0" xfId="0" applyNumberFormat="1" applyFont="1" applyAlignment="1" applyProtection="1">
      <alignment horizontal="center" vertical="center"/>
      <protection hidden="1"/>
    </xf>
    <xf numFmtId="0" fontId="69" fillId="0" borderId="32" xfId="0" applyFont="1" applyBorder="1" applyAlignment="1" applyProtection="1">
      <alignment horizontal="center" vertical="center"/>
      <protection hidden="1"/>
    </xf>
    <xf numFmtId="169" fontId="69" fillId="0" borderId="32" xfId="0" applyNumberFormat="1" applyFont="1" applyBorder="1" applyAlignment="1" applyProtection="1">
      <alignment horizontal="center" vertical="center"/>
      <protection hidden="1"/>
    </xf>
    <xf numFmtId="0" fontId="69" fillId="0" borderId="0" xfId="0" applyFont="1" applyAlignment="1" applyProtection="1">
      <alignment vertical="center"/>
      <protection hidden="1"/>
    </xf>
    <xf numFmtId="1" fontId="69" fillId="0" borderId="0" xfId="0" applyNumberFormat="1" applyFont="1" applyAlignment="1" applyProtection="1">
      <alignment horizontal="center" vertical="center"/>
      <protection hidden="1"/>
    </xf>
    <xf numFmtId="182" fontId="69" fillId="0" borderId="0" xfId="0" applyNumberFormat="1" applyFont="1" applyAlignment="1" applyProtection="1">
      <alignment horizontal="center" vertical="center"/>
      <protection hidden="1"/>
    </xf>
    <xf numFmtId="187" fontId="69" fillId="0" borderId="0" xfId="0" applyNumberFormat="1" applyFont="1" applyAlignment="1" applyProtection="1">
      <alignment horizontal="center" vertical="center"/>
      <protection hidden="1"/>
    </xf>
    <xf numFmtId="198" fontId="69" fillId="0" borderId="0" xfId="0" applyNumberFormat="1" applyFont="1" applyAlignment="1" applyProtection="1">
      <alignment horizontal="center" vertical="center"/>
      <protection hidden="1"/>
    </xf>
    <xf numFmtId="0" fontId="68" fillId="0" borderId="0" xfId="0" applyFont="1" applyAlignment="1" applyProtection="1">
      <alignment horizontal="center"/>
      <protection hidden="1"/>
    </xf>
    <xf numFmtId="0" fontId="71" fillId="0" borderId="0" xfId="0" applyFont="1" applyAlignment="1" applyProtection="1">
      <alignment horizontal="center" vertical="center"/>
      <protection hidden="1"/>
    </xf>
    <xf numFmtId="197" fontId="69" fillId="0" borderId="0" xfId="0" applyNumberFormat="1" applyFont="1" applyAlignment="1" applyProtection="1">
      <alignment horizontal="center" vertical="center"/>
      <protection hidden="1"/>
    </xf>
    <xf numFmtId="164" fontId="16" fillId="0" borderId="0" xfId="0" applyNumberFormat="1" applyFont="1" applyAlignment="1">
      <alignment horizontal="center"/>
    </xf>
    <xf numFmtId="164" fontId="73" fillId="0" borderId="36" xfId="0" applyNumberFormat="1" applyFont="1" applyBorder="1" applyAlignment="1">
      <alignment horizontal="center"/>
    </xf>
    <xf numFmtId="0" fontId="0" fillId="0" borderId="0" xfId="2" applyNumberFormat="1" applyFont="1" applyAlignment="1">
      <alignment horizontal="center" vertical="center"/>
    </xf>
    <xf numFmtId="4" fontId="0" fillId="0" borderId="0" xfId="2" applyNumberFormat="1" applyFont="1" applyAlignment="1">
      <alignment horizontal="center" vertical="center"/>
    </xf>
    <xf numFmtId="164" fontId="73" fillId="0" borderId="34" xfId="0" applyNumberFormat="1" applyFont="1" applyBorder="1" applyAlignment="1">
      <alignment horizontal="center"/>
    </xf>
    <xf numFmtId="164" fontId="16" fillId="0" borderId="38" xfId="0" applyNumberFormat="1" applyFont="1" applyBorder="1" applyAlignment="1">
      <alignment horizontal="center"/>
    </xf>
    <xf numFmtId="164" fontId="73" fillId="0" borderId="35" xfId="0" applyNumberFormat="1" applyFont="1" applyBorder="1" applyAlignment="1">
      <alignment horizontal="center"/>
    </xf>
    <xf numFmtId="187" fontId="73" fillId="0" borderId="36" xfId="0" applyNumberFormat="1" applyFont="1" applyBorder="1" applyAlignment="1">
      <alignment horizontal="center"/>
    </xf>
    <xf numFmtId="187" fontId="73" fillId="0" borderId="35" xfId="0" applyNumberFormat="1" applyFont="1" applyBorder="1" applyAlignment="1">
      <alignment horizontal="center"/>
    </xf>
    <xf numFmtId="164" fontId="74" fillId="0" borderId="36" xfId="0" applyNumberFormat="1" applyFont="1" applyBorder="1" applyAlignment="1">
      <alignment horizontal="center"/>
    </xf>
    <xf numFmtId="164" fontId="74" fillId="0" borderId="35" xfId="0" applyNumberFormat="1" applyFont="1" applyBorder="1" applyAlignment="1">
      <alignment horizontal="center"/>
    </xf>
    <xf numFmtId="187" fontId="0" fillId="0" borderId="32" xfId="2" applyNumberFormat="1" applyFont="1" applyBorder="1" applyAlignment="1">
      <alignment horizontal="center" vertical="center"/>
    </xf>
    <xf numFmtId="187" fontId="0" fillId="0" borderId="32" xfId="2" applyNumberFormat="1" applyFont="1" applyBorder="1"/>
    <xf numFmtId="0" fontId="4" fillId="4" borderId="0" xfId="0" applyFont="1" applyFill="1" applyAlignment="1" applyProtection="1">
      <alignment horizontal="right" vertical="center"/>
      <protection hidden="1"/>
    </xf>
    <xf numFmtId="0" fontId="56" fillId="5" borderId="1" xfId="0" applyFont="1" applyFill="1" applyBorder="1" applyAlignment="1" applyProtection="1">
      <alignment horizontal="center" vertical="center"/>
      <protection hidden="1"/>
    </xf>
    <xf numFmtId="0" fontId="76" fillId="0" borderId="0" xfId="0" applyFont="1" applyAlignment="1">
      <alignment horizontal="center"/>
    </xf>
    <xf numFmtId="184" fontId="61" fillId="4" borderId="9" xfId="0" applyNumberFormat="1" applyFont="1" applyFill="1" applyBorder="1" applyAlignment="1" applyProtection="1">
      <alignment horizontal="center" vertical="center"/>
      <protection hidden="1"/>
    </xf>
    <xf numFmtId="187" fontId="4" fillId="8" borderId="5" xfId="0" applyNumberFormat="1" applyFont="1" applyFill="1" applyBorder="1" applyAlignment="1" applyProtection="1">
      <alignment horizontal="center" vertical="center"/>
      <protection hidden="1"/>
    </xf>
    <xf numFmtId="185" fontId="4" fillId="8" borderId="5" xfId="0" applyNumberFormat="1" applyFont="1" applyFill="1" applyBorder="1" applyAlignment="1" applyProtection="1">
      <alignment horizontal="center" vertical="center"/>
      <protection hidden="1"/>
    </xf>
    <xf numFmtId="192" fontId="4" fillId="8" borderId="5" xfId="0" applyNumberFormat="1" applyFont="1" applyFill="1" applyBorder="1" applyAlignment="1" applyProtection="1">
      <alignment horizontal="center" vertical="center"/>
      <protection hidden="1"/>
    </xf>
    <xf numFmtId="0" fontId="4" fillId="8" borderId="12" xfId="0" applyFont="1" applyFill="1" applyBorder="1" applyAlignment="1" applyProtection="1">
      <alignment horizontal="center" vertical="center"/>
      <protection hidden="1"/>
    </xf>
    <xf numFmtId="0" fontId="4" fillId="8" borderId="13" xfId="0" applyFont="1" applyFill="1" applyBorder="1" applyAlignment="1" applyProtection="1">
      <alignment horizontal="center" vertical="center"/>
      <protection hidden="1"/>
    </xf>
    <xf numFmtId="0" fontId="4" fillId="8" borderId="4" xfId="0" applyFont="1" applyFill="1" applyBorder="1" applyAlignment="1" applyProtection="1">
      <alignment horizontal="center" vertical="center"/>
      <protection hidden="1"/>
    </xf>
    <xf numFmtId="0" fontId="4" fillId="8" borderId="5" xfId="0" applyFont="1" applyFill="1" applyBorder="1" applyAlignment="1" applyProtection="1">
      <alignment horizontal="center" vertical="center"/>
      <protection hidden="1"/>
    </xf>
    <xf numFmtId="0" fontId="4" fillId="4" borderId="4" xfId="0" applyFont="1" applyFill="1" applyBorder="1" applyAlignment="1" applyProtection="1">
      <alignment horizontal="right" vertical="center"/>
      <protection hidden="1"/>
    </xf>
    <xf numFmtId="0" fontId="4" fillId="4" borderId="5" xfId="0" applyFont="1" applyFill="1" applyBorder="1" applyAlignment="1" applyProtection="1">
      <alignment horizontal="right" vertical="center"/>
      <protection hidden="1"/>
    </xf>
    <xf numFmtId="0" fontId="25" fillId="4" borderId="4" xfId="0" applyFont="1" applyFill="1" applyBorder="1" applyAlignment="1" applyProtection="1">
      <alignment horizontal="right" vertical="center"/>
      <protection hidden="1"/>
    </xf>
    <xf numFmtId="0" fontId="25" fillId="4" borderId="4" xfId="0" applyFont="1" applyFill="1" applyBorder="1" applyAlignment="1" applyProtection="1">
      <alignment horizontal="center" vertical="center"/>
      <protection hidden="1"/>
    </xf>
    <xf numFmtId="0" fontId="4" fillId="4" borderId="4" xfId="0" applyFont="1" applyFill="1" applyBorder="1" applyAlignment="1" applyProtection="1">
      <alignment horizontal="center" vertical="center"/>
      <protection hidden="1"/>
    </xf>
    <xf numFmtId="0" fontId="4" fillId="4" borderId="5" xfId="0" applyFont="1" applyFill="1" applyBorder="1" applyAlignment="1" applyProtection="1">
      <alignment horizontal="center" vertical="center"/>
      <protection hidden="1"/>
    </xf>
    <xf numFmtId="0" fontId="4" fillId="3" borderId="0" xfId="0" applyFont="1" applyFill="1" applyAlignment="1" applyProtection="1">
      <alignment horizontal="center" vertical="center"/>
      <protection hidden="1"/>
    </xf>
    <xf numFmtId="177" fontId="4" fillId="14" borderId="5" xfId="0" applyNumberFormat="1" applyFont="1" applyFill="1" applyBorder="1" applyAlignment="1" applyProtection="1">
      <alignment horizontal="center" vertical="center"/>
      <protection locked="0"/>
    </xf>
    <xf numFmtId="190" fontId="4" fillId="14" borderId="5" xfId="0" applyNumberFormat="1" applyFont="1" applyFill="1" applyBorder="1" applyAlignment="1" applyProtection="1">
      <alignment horizontal="center" vertical="center"/>
      <protection locked="0"/>
    </xf>
    <xf numFmtId="0" fontId="4" fillId="4" borderId="5" xfId="0" applyFont="1" applyFill="1" applyBorder="1" applyAlignment="1" applyProtection="1">
      <alignment horizontal="center" vertical="center"/>
      <protection hidden="1"/>
    </xf>
    <xf numFmtId="187" fontId="4" fillId="8" borderId="5" xfId="0" applyNumberFormat="1" applyFont="1" applyFill="1" applyBorder="1" applyAlignment="1" applyProtection="1">
      <alignment horizontal="center" vertical="center"/>
      <protection hidden="1"/>
    </xf>
    <xf numFmtId="185" fontId="4" fillId="8" borderId="5" xfId="0" applyNumberFormat="1" applyFont="1" applyFill="1" applyBorder="1" applyAlignment="1" applyProtection="1">
      <alignment horizontal="center" vertical="center"/>
      <protection hidden="1"/>
    </xf>
    <xf numFmtId="0" fontId="0" fillId="3" borderId="0" xfId="0" applyFill="1" applyProtection="1"/>
    <xf numFmtId="1" fontId="4" fillId="14" borderId="1" xfId="0" applyNumberFormat="1" applyFont="1" applyFill="1" applyBorder="1" applyAlignment="1" applyProtection="1">
      <alignment horizontal="center" vertical="center"/>
    </xf>
    <xf numFmtId="0" fontId="0" fillId="3" borderId="0" xfId="0" applyFill="1" applyAlignment="1" applyProtection="1">
      <alignment horizontal="center"/>
    </xf>
    <xf numFmtId="49" fontId="0" fillId="3" borderId="0" xfId="0" applyNumberFormat="1" applyFill="1" applyAlignment="1" applyProtection="1">
      <alignment horizontal="left"/>
    </xf>
    <xf numFmtId="166" fontId="0" fillId="3" borderId="0" xfId="0" applyNumberFormat="1" applyFill="1" applyAlignment="1" applyProtection="1">
      <alignment horizontal="center"/>
    </xf>
    <xf numFmtId="0" fontId="0" fillId="0" borderId="0" xfId="0" applyProtection="1"/>
    <xf numFmtId="0" fontId="21" fillId="4" borderId="4" xfId="0" applyFont="1" applyFill="1" applyBorder="1" applyAlignment="1" applyProtection="1">
      <alignment horizontal="right" vertical="center"/>
      <protection hidden="1"/>
    </xf>
    <xf numFmtId="187" fontId="4" fillId="8" borderId="10" xfId="2" applyNumberFormat="1" applyFont="1" applyFill="1" applyBorder="1" applyAlignment="1" applyProtection="1">
      <alignment horizontal="center" vertical="center"/>
      <protection hidden="1"/>
    </xf>
    <xf numFmtId="187" fontId="4" fillId="8" borderId="0" xfId="2" applyNumberFormat="1" applyFont="1" applyFill="1" applyBorder="1" applyAlignment="1" applyProtection="1">
      <alignment horizontal="center" vertical="center"/>
      <protection hidden="1"/>
    </xf>
    <xf numFmtId="186" fontId="4" fillId="8" borderId="10" xfId="0" applyNumberFormat="1" applyFont="1" applyFill="1" applyBorder="1" applyAlignment="1" applyProtection="1">
      <alignment horizontal="center" vertical="center"/>
      <protection hidden="1"/>
    </xf>
    <xf numFmtId="186" fontId="4" fillId="8" borderId="41" xfId="0" applyNumberFormat="1" applyFont="1" applyFill="1" applyBorder="1" applyAlignment="1" applyProtection="1">
      <alignment horizontal="center" vertical="center"/>
      <protection hidden="1"/>
    </xf>
    <xf numFmtId="0" fontId="25" fillId="4" borderId="4" xfId="0" applyFont="1" applyFill="1" applyBorder="1" applyAlignment="1" applyProtection="1">
      <alignment horizontal="center" vertical="center"/>
      <protection hidden="1"/>
    </xf>
    <xf numFmtId="0" fontId="25" fillId="4" borderId="5" xfId="0" applyFont="1" applyFill="1" applyBorder="1" applyAlignment="1" applyProtection="1">
      <alignment horizontal="center" vertical="center"/>
      <protection hidden="1"/>
    </xf>
    <xf numFmtId="0" fontId="4" fillId="4" borderId="4" xfId="0" applyFont="1" applyFill="1" applyBorder="1" applyAlignment="1" applyProtection="1">
      <alignment horizontal="center" vertical="center"/>
      <protection hidden="1"/>
    </xf>
    <xf numFmtId="0" fontId="4" fillId="4" borderId="5" xfId="0" applyFont="1" applyFill="1" applyBorder="1" applyAlignment="1" applyProtection="1">
      <alignment horizontal="center" vertical="center"/>
      <protection hidden="1"/>
    </xf>
    <xf numFmtId="0" fontId="4" fillId="8" borderId="4" xfId="0" applyFont="1" applyFill="1" applyBorder="1" applyAlignment="1" applyProtection="1">
      <alignment horizontal="center" vertical="center"/>
      <protection hidden="1"/>
    </xf>
    <xf numFmtId="0" fontId="4" fillId="8" borderId="5" xfId="0" applyFont="1" applyFill="1" applyBorder="1" applyAlignment="1" applyProtection="1">
      <alignment horizontal="center" vertical="center"/>
      <protection hidden="1"/>
    </xf>
    <xf numFmtId="0" fontId="3" fillId="5" borderId="4" xfId="0" applyFont="1" applyFill="1" applyBorder="1" applyAlignment="1" applyProtection="1">
      <alignment horizontal="center" vertical="center"/>
      <protection hidden="1"/>
    </xf>
    <xf numFmtId="0" fontId="3" fillId="5" borderId="5" xfId="0" applyFont="1" applyFill="1" applyBorder="1" applyAlignment="1" applyProtection="1">
      <alignment horizontal="center" vertical="center"/>
      <protection hidden="1"/>
    </xf>
    <xf numFmtId="0" fontId="14" fillId="2" borderId="5" xfId="0" applyFont="1" applyFill="1" applyBorder="1" applyAlignment="1" applyProtection="1">
      <alignment horizontal="center" vertical="center"/>
      <protection hidden="1"/>
    </xf>
    <xf numFmtId="0" fontId="15" fillId="7" borderId="0" xfId="0" applyFont="1" applyFill="1" applyAlignment="1" applyProtection="1">
      <alignment horizontal="right" vertical="center"/>
      <protection hidden="1"/>
    </xf>
    <xf numFmtId="0" fontId="55" fillId="19" borderId="0" xfId="0" applyFont="1" applyFill="1" applyAlignment="1" applyProtection="1">
      <alignment horizontal="left"/>
      <protection locked="0"/>
    </xf>
    <xf numFmtId="0" fontId="3" fillId="5" borderId="10" xfId="0" applyFont="1" applyFill="1" applyBorder="1" applyAlignment="1" applyProtection="1">
      <alignment horizontal="center" vertical="center"/>
      <protection hidden="1"/>
    </xf>
    <xf numFmtId="0" fontId="3" fillId="5" borderId="0" xfId="0" applyFont="1" applyFill="1" applyAlignment="1" applyProtection="1">
      <alignment horizontal="center" vertical="center"/>
      <protection hidden="1"/>
    </xf>
    <xf numFmtId="0" fontId="4" fillId="6" borderId="0" xfId="0" applyFont="1" applyFill="1" applyAlignment="1" applyProtection="1">
      <alignment horizontal="center" vertical="center"/>
      <protection hidden="1"/>
    </xf>
    <xf numFmtId="0" fontId="4" fillId="4" borderId="4" xfId="0" applyFont="1" applyFill="1" applyBorder="1" applyAlignment="1" applyProtection="1">
      <alignment horizontal="right" vertical="center"/>
      <protection hidden="1"/>
    </xf>
    <xf numFmtId="0" fontId="4" fillId="4" borderId="5" xfId="0" applyFont="1" applyFill="1" applyBorder="1" applyAlignment="1" applyProtection="1">
      <alignment horizontal="right" vertical="center"/>
      <protection hidden="1"/>
    </xf>
    <xf numFmtId="0" fontId="4" fillId="8" borderId="12" xfId="0" applyFont="1" applyFill="1" applyBorder="1" applyAlignment="1" applyProtection="1">
      <alignment horizontal="center" vertical="center"/>
      <protection hidden="1"/>
    </xf>
    <xf numFmtId="0" fontId="4" fillId="8" borderId="43" xfId="0" applyFont="1" applyFill="1" applyBorder="1" applyAlignment="1" applyProtection="1">
      <alignment horizontal="center" vertical="center"/>
      <protection hidden="1"/>
    </xf>
    <xf numFmtId="187" fontId="4" fillId="8" borderId="50" xfId="2" applyNumberFormat="1" applyFont="1" applyFill="1" applyBorder="1" applyAlignment="1" applyProtection="1">
      <alignment horizontal="center" vertical="center"/>
      <protection hidden="1"/>
    </xf>
    <xf numFmtId="187" fontId="4" fillId="8" borderId="42" xfId="2" applyNumberFormat="1" applyFont="1" applyFill="1" applyBorder="1" applyAlignment="1" applyProtection="1">
      <alignment horizontal="center" vertical="center"/>
      <protection hidden="1"/>
    </xf>
    <xf numFmtId="0" fontId="78" fillId="12" borderId="0" xfId="0" applyFont="1" applyFill="1" applyAlignment="1" applyProtection="1">
      <alignment horizontal="center" vertical="top" wrapText="1"/>
      <protection hidden="1"/>
    </xf>
    <xf numFmtId="0" fontId="78" fillId="12" borderId="0" xfId="0" applyFont="1" applyFill="1" applyAlignment="1" applyProtection="1">
      <alignment horizontal="center" vertical="top"/>
      <protection hidden="1"/>
    </xf>
    <xf numFmtId="0" fontId="4" fillId="12" borderId="0" xfId="0" applyFont="1" applyFill="1" applyAlignment="1" applyProtection="1">
      <alignment horizontal="center" vertical="center"/>
      <protection hidden="1"/>
    </xf>
    <xf numFmtId="0" fontId="4" fillId="13" borderId="0" xfId="0" applyFont="1" applyFill="1" applyAlignment="1" applyProtection="1">
      <alignment horizontal="center" vertical="center"/>
      <protection hidden="1"/>
    </xf>
    <xf numFmtId="186" fontId="4" fillId="8" borderId="50" xfId="0" applyNumberFormat="1" applyFont="1" applyFill="1" applyBorder="1" applyAlignment="1" applyProtection="1">
      <alignment horizontal="center" vertical="center"/>
      <protection hidden="1"/>
    </xf>
    <xf numFmtId="186" fontId="4" fillId="8" borderId="42" xfId="0" applyNumberFormat="1" applyFont="1" applyFill="1" applyBorder="1" applyAlignment="1" applyProtection="1">
      <alignment horizontal="center" vertical="center"/>
      <protection hidden="1"/>
    </xf>
    <xf numFmtId="0" fontId="21" fillId="4" borderId="4" xfId="0" applyFont="1" applyFill="1" applyBorder="1" applyAlignment="1" applyProtection="1">
      <alignment horizontal="right" vertical="center"/>
      <protection hidden="1"/>
    </xf>
    <xf numFmtId="0" fontId="28" fillId="4" borderId="5" xfId="0" applyFont="1" applyFill="1" applyBorder="1" applyAlignment="1" applyProtection="1">
      <alignment horizontal="right" vertical="center"/>
      <protection hidden="1"/>
    </xf>
    <xf numFmtId="0" fontId="25" fillId="4" borderId="4" xfId="0" applyFont="1" applyFill="1" applyBorder="1" applyAlignment="1" applyProtection="1">
      <alignment horizontal="right" vertical="center"/>
      <protection hidden="1"/>
    </xf>
    <xf numFmtId="0" fontId="25" fillId="4" borderId="5" xfId="0" applyFont="1" applyFill="1" applyBorder="1" applyAlignment="1" applyProtection="1">
      <alignment horizontal="right" vertical="center"/>
      <protection hidden="1"/>
    </xf>
    <xf numFmtId="0" fontId="4" fillId="4" borderId="2" xfId="0" applyFont="1" applyFill="1" applyBorder="1" applyAlignment="1" applyProtection="1">
      <alignment horizontal="right" vertical="center"/>
      <protection hidden="1"/>
    </xf>
    <xf numFmtId="0" fontId="12" fillId="12" borderId="0" xfId="0" applyFont="1" applyFill="1" applyAlignment="1" applyProtection="1">
      <alignment horizontal="center" vertical="center"/>
      <protection hidden="1"/>
    </xf>
    <xf numFmtId="0" fontId="59" fillId="17" borderId="0" xfId="0" applyFont="1" applyFill="1" applyAlignment="1" applyProtection="1">
      <alignment horizontal="right" vertical="center"/>
      <protection hidden="1"/>
    </xf>
    <xf numFmtId="0" fontId="3" fillId="5" borderId="11" xfId="0" applyFont="1" applyFill="1" applyBorder="1" applyAlignment="1" applyProtection="1">
      <alignment horizontal="center" vertical="center"/>
      <protection hidden="1"/>
    </xf>
    <xf numFmtId="0" fontId="3" fillId="5" borderId="9" xfId="0" applyFont="1" applyFill="1" applyBorder="1" applyAlignment="1" applyProtection="1">
      <alignment horizontal="center" vertical="center"/>
      <protection hidden="1"/>
    </xf>
    <xf numFmtId="185" fontId="4" fillId="8" borderId="4" xfId="0" applyNumberFormat="1" applyFont="1" applyFill="1" applyBorder="1" applyAlignment="1" applyProtection="1">
      <alignment horizontal="center" vertical="center"/>
      <protection hidden="1"/>
    </xf>
    <xf numFmtId="185" fontId="4" fillId="8" borderId="5" xfId="0" applyNumberFormat="1" applyFont="1" applyFill="1" applyBorder="1" applyAlignment="1" applyProtection="1">
      <alignment horizontal="center" vertical="center"/>
      <protection hidden="1"/>
    </xf>
    <xf numFmtId="192" fontId="4" fillId="8" borderId="5" xfId="0" applyNumberFormat="1" applyFont="1" applyFill="1" applyBorder="1" applyAlignment="1" applyProtection="1">
      <alignment horizontal="center" vertical="center"/>
      <protection hidden="1"/>
    </xf>
    <xf numFmtId="0" fontId="59" fillId="12" borderId="0" xfId="0" applyFont="1" applyFill="1" applyAlignment="1" applyProtection="1">
      <alignment horizontal="center" vertical="center"/>
      <protection hidden="1"/>
    </xf>
    <xf numFmtId="187" fontId="4" fillId="8" borderId="45" xfId="0" applyNumberFormat="1" applyFont="1" applyFill="1" applyBorder="1" applyAlignment="1" applyProtection="1">
      <alignment horizontal="center" vertical="center"/>
      <protection hidden="1"/>
    </xf>
    <xf numFmtId="187" fontId="4" fillId="8" borderId="5" xfId="0" applyNumberFormat="1" applyFont="1" applyFill="1" applyBorder="1" applyAlignment="1" applyProtection="1">
      <alignment horizontal="center" vertical="center"/>
      <protection hidden="1"/>
    </xf>
    <xf numFmtId="185" fontId="4" fillId="8" borderId="44" xfId="0" applyNumberFormat="1" applyFont="1" applyFill="1" applyBorder="1" applyAlignment="1" applyProtection="1">
      <alignment horizontal="center" vertical="center"/>
      <protection hidden="1"/>
    </xf>
    <xf numFmtId="185" fontId="4" fillId="8" borderId="45" xfId="0" applyNumberFormat="1" applyFont="1" applyFill="1" applyBorder="1" applyAlignment="1" applyProtection="1">
      <alignment horizontal="center" vertical="center"/>
      <protection hidden="1"/>
    </xf>
    <xf numFmtId="0" fontId="4" fillId="8" borderId="13" xfId="0" applyFont="1" applyFill="1" applyBorder="1" applyAlignment="1" applyProtection="1">
      <alignment horizontal="center" vertical="center"/>
      <protection hidden="1"/>
    </xf>
    <xf numFmtId="0" fontId="4" fillId="15" borderId="0" xfId="0" applyFont="1" applyFill="1" applyAlignment="1" applyProtection="1">
      <alignment horizontal="center" vertical="center"/>
      <protection hidden="1"/>
    </xf>
    <xf numFmtId="192" fontId="4" fillId="8" borderId="45" xfId="0" applyNumberFormat="1" applyFont="1" applyFill="1" applyBorder="1" applyAlignment="1" applyProtection="1">
      <alignment horizontal="center" vertical="center"/>
      <protection hidden="1"/>
    </xf>
    <xf numFmtId="0" fontId="4" fillId="6" borderId="41" xfId="0" applyFont="1" applyFill="1" applyBorder="1" applyAlignment="1" applyProtection="1">
      <alignment horizontal="center" vertical="center"/>
      <protection hidden="1"/>
    </xf>
    <xf numFmtId="0" fontId="0" fillId="3" borderId="0" xfId="0" applyFill="1" applyAlignment="1" applyProtection="1">
      <alignment horizontal="center" vertical="center"/>
    </xf>
    <xf numFmtId="0" fontId="4" fillId="3" borderId="0" xfId="0" applyFont="1" applyFill="1" applyAlignment="1" applyProtection="1">
      <alignment horizontal="center" vertical="center"/>
      <protection hidden="1"/>
    </xf>
    <xf numFmtId="0" fontId="81" fillId="3" borderId="0" xfId="0" applyFont="1" applyFill="1" applyAlignment="1" applyProtection="1">
      <alignment horizontal="left" vertical="center" wrapText="1"/>
    </xf>
    <xf numFmtId="0" fontId="81" fillId="3" borderId="0" xfId="0" applyFont="1" applyFill="1" applyAlignment="1" applyProtection="1">
      <alignment horizontal="left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9" borderId="0" xfId="0" applyFill="1" applyAlignment="1">
      <alignment horizontal="center"/>
    </xf>
    <xf numFmtId="0" fontId="0" fillId="9" borderId="0" xfId="0" applyFill="1" applyAlignment="1">
      <alignment horizontal="center" vertical="center"/>
    </xf>
    <xf numFmtId="0" fontId="18" fillId="9" borderId="0" xfId="0" applyFont="1" applyFill="1" applyAlignment="1">
      <alignment horizontal="center"/>
    </xf>
    <xf numFmtId="0" fontId="0" fillId="0" borderId="32" xfId="0" applyBorder="1" applyAlignment="1">
      <alignment horizontal="center"/>
    </xf>
    <xf numFmtId="0" fontId="52" fillId="0" borderId="14" xfId="0" applyFont="1" applyBorder="1" applyAlignment="1">
      <alignment horizontal="center" vertical="center" wrapText="1"/>
    </xf>
    <xf numFmtId="0" fontId="51" fillId="0" borderId="17" xfId="0" applyFont="1" applyBorder="1" applyAlignment="1">
      <alignment horizontal="center" vertical="center" wrapText="1"/>
    </xf>
    <xf numFmtId="177" fontId="52" fillId="0" borderId="14" xfId="0" applyNumberFormat="1" applyFont="1" applyBorder="1" applyAlignment="1">
      <alignment horizontal="center" vertical="center" shrinkToFit="1"/>
    </xf>
    <xf numFmtId="177" fontId="52" fillId="0" borderId="17" xfId="0" applyNumberFormat="1" applyFont="1" applyBorder="1" applyAlignment="1">
      <alignment horizontal="center" vertical="center" shrinkToFit="1"/>
    </xf>
    <xf numFmtId="0" fontId="65" fillId="0" borderId="32" xfId="0" applyFont="1" applyBorder="1" applyAlignment="1">
      <alignment horizontal="center" vertical="center"/>
    </xf>
    <xf numFmtId="0" fontId="37" fillId="0" borderId="14" xfId="0" applyFont="1" applyBorder="1" applyAlignment="1">
      <alignment horizontal="center" vertical="top" wrapText="1"/>
    </xf>
    <xf numFmtId="0" fontId="37" fillId="0" borderId="17" xfId="0" applyFont="1" applyBorder="1" applyAlignment="1">
      <alignment horizontal="center" vertical="top" wrapText="1"/>
    </xf>
    <xf numFmtId="0" fontId="42" fillId="0" borderId="20" xfId="0" applyFont="1" applyBorder="1" applyAlignment="1">
      <alignment horizontal="center"/>
    </xf>
    <xf numFmtId="0" fontId="37" fillId="0" borderId="21" xfId="0" applyFont="1" applyBorder="1" applyAlignment="1">
      <alignment horizontal="center" vertical="center" wrapText="1"/>
    </xf>
    <xf numFmtId="0" fontId="37" fillId="0" borderId="22" xfId="0" applyFont="1" applyBorder="1" applyAlignment="1">
      <alignment horizontal="center" vertical="center" wrapText="1"/>
    </xf>
    <xf numFmtId="0" fontId="37" fillId="0" borderId="23" xfId="0" applyFont="1" applyBorder="1" applyAlignment="1">
      <alignment horizontal="center" vertical="center" wrapText="1"/>
    </xf>
    <xf numFmtId="0" fontId="37" fillId="0" borderId="24" xfId="0" applyFont="1" applyBorder="1" applyAlignment="1">
      <alignment horizontal="center" vertical="center" wrapText="1"/>
    </xf>
    <xf numFmtId="0" fontId="48" fillId="0" borderId="14" xfId="0" applyFont="1" applyBorder="1" applyAlignment="1">
      <alignment horizontal="center" vertical="center" wrapText="1"/>
    </xf>
    <xf numFmtId="0" fontId="37" fillId="0" borderId="15" xfId="0" applyFont="1" applyBorder="1" applyAlignment="1">
      <alignment horizontal="center" vertical="center" wrapText="1"/>
    </xf>
    <xf numFmtId="0" fontId="37" fillId="0" borderId="16" xfId="0" applyFont="1" applyBorder="1" applyAlignment="1">
      <alignment horizontal="center" vertical="center" wrapText="1"/>
    </xf>
    <xf numFmtId="0" fontId="51" fillId="0" borderId="14" xfId="0" applyFont="1" applyBorder="1" applyAlignment="1">
      <alignment horizontal="center" vertical="top" wrapText="1"/>
    </xf>
    <xf numFmtId="0" fontId="51" fillId="0" borderId="17" xfId="0" applyFont="1" applyBorder="1" applyAlignment="1">
      <alignment horizontal="center" vertical="top" wrapText="1"/>
    </xf>
    <xf numFmtId="0" fontId="37" fillId="0" borderId="21" xfId="0" applyFont="1" applyBorder="1" applyAlignment="1">
      <alignment horizontal="center" vertical="top" wrapText="1"/>
    </xf>
    <xf numFmtId="0" fontId="37" fillId="0" borderId="22" xfId="0" applyFont="1" applyBorder="1" applyAlignment="1">
      <alignment horizontal="center" vertical="top" wrapText="1"/>
    </xf>
    <xf numFmtId="0" fontId="37" fillId="0" borderId="23" xfId="0" applyFont="1" applyBorder="1" applyAlignment="1">
      <alignment horizontal="center" vertical="top" wrapText="1"/>
    </xf>
    <xf numFmtId="0" fontId="37" fillId="0" borderId="24" xfId="0" applyFont="1" applyBorder="1" applyAlignment="1">
      <alignment horizontal="center" vertical="top" wrapText="1"/>
    </xf>
    <xf numFmtId="0" fontId="53" fillId="0" borderId="14" xfId="0" applyFont="1" applyBorder="1" applyAlignment="1">
      <alignment horizontal="left" vertical="center" wrapText="1" indent="2"/>
    </xf>
    <xf numFmtId="0" fontId="53" fillId="0" borderId="17" xfId="0" applyFont="1" applyBorder="1" applyAlignment="1">
      <alignment horizontal="left" vertical="center" wrapText="1" indent="2"/>
    </xf>
    <xf numFmtId="0" fontId="52" fillId="0" borderId="17" xfId="0" applyFont="1" applyBorder="1" applyAlignment="1">
      <alignment horizontal="center" vertical="center" wrapText="1"/>
    </xf>
    <xf numFmtId="0" fontId="53" fillId="0" borderId="14" xfId="0" applyFont="1" applyBorder="1" applyAlignment="1">
      <alignment horizontal="center" vertical="center" wrapText="1"/>
    </xf>
    <xf numFmtId="0" fontId="53" fillId="0" borderId="17" xfId="0" applyFont="1" applyBorder="1" applyAlignment="1">
      <alignment horizontal="center" vertical="center" wrapText="1"/>
    </xf>
    <xf numFmtId="0" fontId="1" fillId="3" borderId="38" xfId="0" applyFont="1" applyFill="1" applyBorder="1" applyAlignment="1">
      <alignment horizontal="center"/>
    </xf>
    <xf numFmtId="0" fontId="1" fillId="3" borderId="32" xfId="0" applyFont="1" applyFill="1" applyBorder="1" applyAlignment="1">
      <alignment horizontal="center"/>
    </xf>
    <xf numFmtId="0" fontId="1" fillId="3" borderId="35" xfId="0" applyFont="1" applyFill="1" applyBorder="1" applyAlignment="1">
      <alignment horizontal="center"/>
    </xf>
    <xf numFmtId="0" fontId="0" fillId="3" borderId="39" xfId="0" applyFill="1" applyBorder="1" applyAlignment="1">
      <alignment horizontal="center"/>
    </xf>
    <xf numFmtId="0" fontId="0" fillId="3" borderId="0" xfId="0" applyFill="1" applyAlignment="1">
      <alignment horizontal="center"/>
    </xf>
    <xf numFmtId="0" fontId="0" fillId="3" borderId="36" xfId="0" applyFill="1" applyBorder="1" applyAlignment="1">
      <alignment horizontal="center"/>
    </xf>
    <xf numFmtId="0" fontId="1" fillId="3" borderId="0" xfId="0" applyFont="1" applyFill="1" applyAlignment="1">
      <alignment horizontal="center"/>
    </xf>
    <xf numFmtId="0" fontId="41" fillId="0" borderId="19" xfId="0" applyFont="1" applyBorder="1" applyAlignment="1">
      <alignment horizontal="left" vertical="top" wrapText="1"/>
    </xf>
    <xf numFmtId="0" fontId="41" fillId="0" borderId="0" xfId="0" applyFont="1" applyAlignment="1">
      <alignment horizontal="left" vertical="top" wrapText="1"/>
    </xf>
    <xf numFmtId="0" fontId="51" fillId="0" borderId="14" xfId="0" applyFont="1" applyBorder="1" applyAlignment="1">
      <alignment horizontal="center" vertical="center" wrapText="1"/>
    </xf>
    <xf numFmtId="0" fontId="0" fillId="0" borderId="26" xfId="0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3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39" xfId="0" applyBorder="1" applyAlignment="1">
      <alignment horizontal="center"/>
    </xf>
    <xf numFmtId="0" fontId="0" fillId="0" borderId="36" xfId="0" applyBorder="1" applyAlignment="1">
      <alignment horizontal="center"/>
    </xf>
    <xf numFmtId="0" fontId="0" fillId="0" borderId="30" xfId="0" applyBorder="1" applyAlignment="1">
      <alignment horizontal="center"/>
    </xf>
    <xf numFmtId="0" fontId="67" fillId="0" borderId="0" xfId="0" applyFont="1" applyAlignment="1">
      <alignment horizontal="center"/>
    </xf>
    <xf numFmtId="0" fontId="68" fillId="0" borderId="32" xfId="0" applyFont="1" applyBorder="1" applyAlignment="1" applyProtection="1">
      <alignment horizontal="center" vertical="center"/>
      <protection hidden="1"/>
    </xf>
    <xf numFmtId="0" fontId="68" fillId="0" borderId="49" xfId="0" applyFont="1" applyBorder="1" applyAlignment="1" applyProtection="1">
      <alignment horizontal="center" vertical="center"/>
      <protection hidden="1"/>
    </xf>
  </cellXfs>
  <cellStyles count="3">
    <cellStyle name="Moeda" xfId="2" builtinId="4"/>
    <cellStyle name="Normal" xfId="0" builtinId="0"/>
    <cellStyle name="Porcentagem" xfId="1" builtinId="5"/>
  </cellStyles>
  <dxfs count="41"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auto="1"/>
      </font>
      <fill>
        <patternFill patternType="solid">
          <bgColor theme="7" tint="0.59996337778862885"/>
        </patternFill>
      </fill>
    </dxf>
    <dxf>
      <font>
        <color auto="1"/>
      </font>
      <fill>
        <patternFill patternType="solid">
          <bgColor theme="7" tint="0.59996337778862885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color auto="1"/>
      </font>
      <fill>
        <patternFill patternType="solid">
          <bgColor theme="7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rgb="FFFF0000"/>
        </patternFill>
      </fill>
    </dxf>
    <dxf>
      <fill>
        <patternFill>
          <bgColor theme="4" tint="0.59996337778862885"/>
        </patternFill>
      </fill>
    </dxf>
    <dxf>
      <font>
        <color theme="4" tint="0.59996337778862885"/>
      </font>
    </dxf>
    <dxf>
      <font>
        <color theme="4" tint="0.59996337778862885"/>
      </font>
    </dxf>
  </dxfs>
  <tableStyles count="0" defaultTableStyle="TableStyleMedium2" defaultPivotStyle="PivotStyleLight16"/>
  <colors>
    <mruColors>
      <color rgb="FFFFFFCC"/>
      <color rgb="FFFDFDF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7.xml.rels><?xml version="1.0" encoding="UTF-8" standalone="yes"?>
<Relationships xmlns="http://schemas.openxmlformats.org/package/2006/relationships"><Relationship Id="rId1" Type="http://schemas.openxmlformats.org/officeDocument/2006/relationships/image" Target="../media/image9.pn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92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Gráfico de N</a:t>
            </a:r>
            <a:r>
              <a:rPr lang="en-US" sz="1400" b="1"/>
              <a:t>SPT</a:t>
            </a:r>
          </a:p>
        </c:rich>
      </c:tx>
      <c:layout>
        <c:manualLayout>
          <c:xMode val="edge"/>
          <c:yMode val="edge"/>
          <c:x val="0.25204674297542362"/>
          <c:y val="1.2900016773141698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92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>
        <c:manualLayout>
          <c:layoutTarget val="inner"/>
          <c:xMode val="edge"/>
          <c:yMode val="edge"/>
          <c:x val="0.21577897424795794"/>
          <c:y val="0.10828388668868417"/>
          <c:w val="0.72463129065479637"/>
          <c:h val="0.86662844268463046"/>
        </c:manualLayout>
      </c:layout>
      <c:scatterChart>
        <c:scatterStyle val="lineMarker"/>
        <c:varyColors val="0"/>
        <c:ser>
          <c:idx val="0"/>
          <c:order val="0"/>
          <c:tx>
            <c:strRef>
              <c:f>CAPA!$D$7</c:f>
              <c:strCache>
                <c:ptCount val="1"/>
                <c:pt idx="0">
                  <c:v>Nspt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5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showLegendKey val="0"/>
            <c:showVal val="0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CALCULO!$L$6:$L$56</c:f>
              <c:numCache>
                <c:formatCode>0</c:formatCode>
                <c:ptCount val="51"/>
                <c:pt idx="1">
                  <c:v>5</c:v>
                </c:pt>
                <c:pt idx="2">
                  <c:v>5</c:v>
                </c:pt>
                <c:pt idx="3">
                  <c:v>2</c:v>
                </c:pt>
                <c:pt idx="4">
                  <c:v>3</c:v>
                </c:pt>
                <c:pt idx="5">
                  <c:v>2</c:v>
                </c:pt>
                <c:pt idx="6">
                  <c:v>4</c:v>
                </c:pt>
                <c:pt idx="7">
                  <c:v>4</c:v>
                </c:pt>
                <c:pt idx="8">
                  <c:v>7</c:v>
                </c:pt>
                <c:pt idx="9">
                  <c:v>9</c:v>
                </c:pt>
                <c:pt idx="10">
                  <c:v>9</c:v>
                </c:pt>
                <c:pt idx="11">
                  <c:v>7</c:v>
                </c:pt>
                <c:pt idx="12">
                  <c:v>7</c:v>
                </c:pt>
                <c:pt idx="13">
                  <c:v>9</c:v>
                </c:pt>
                <c:pt idx="14">
                  <c:v>14</c:v>
                </c:pt>
                <c:pt idx="15">
                  <c:v>16</c:v>
                </c:pt>
                <c:pt idx="16">
                  <c:v>15</c:v>
                </c:pt>
                <c:pt idx="17">
                  <c:v>13</c:v>
                </c:pt>
                <c:pt idx="18">
                  <c:v>14</c:v>
                </c:pt>
                <c:pt idx="19">
                  <c:v>16</c:v>
                </c:pt>
                <c:pt idx="20">
                  <c:v>21</c:v>
                </c:pt>
                <c:pt idx="21">
                  <c:v>28</c:v>
                </c:pt>
                <c:pt idx="22">
                  <c:v>25</c:v>
                </c:pt>
                <c:pt idx="23">
                  <c:v>30</c:v>
                </c:pt>
                <c:pt idx="24">
                  <c:v>37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</c:numCache>
            </c:numRef>
          </c:xVal>
          <c:yVal>
            <c:numRef>
              <c:f>CAPA!$C$8:$C$57</c:f>
              <c:numCache>
                <c:formatCode>General</c:formatCode>
                <c:ptCount val="5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C43-4F6D-86C0-A44C000D6808}"/>
            </c:ext>
          </c:extLst>
        </c:ser>
        <c:ser>
          <c:idx val="1"/>
          <c:order val="1"/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6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CAPA!$M$2:$M$3</c:f>
            </c:numRef>
          </c:xVal>
          <c:yVal>
            <c:numRef>
              <c:f>CAPA!$K$2:$K$3</c:f>
            </c:numRef>
          </c:yVal>
          <c:smooth val="0"/>
          <c:extLst>
            <c:ext xmlns:c16="http://schemas.microsoft.com/office/drawing/2014/chart" uri="{C3380CC4-5D6E-409C-BE32-E72D297353CC}">
              <c16:uniqueId val="{00000001-9C43-4F6D-86C0-A44C000D6808}"/>
            </c:ext>
          </c:extLst>
        </c:ser>
        <c:ser>
          <c:idx val="2"/>
          <c:order val="2"/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4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CAPA!$I$2:$I$3</c:f>
            </c:numRef>
          </c:xVal>
          <c:yVal>
            <c:numRef>
              <c:f>CAPA!$H$2:$H$3</c:f>
            </c:numRef>
          </c:yVal>
          <c:smooth val="0"/>
          <c:extLst>
            <c:ext xmlns:c16="http://schemas.microsoft.com/office/drawing/2014/chart" uri="{C3380CC4-5D6E-409C-BE32-E72D297353CC}">
              <c16:uniqueId val="{00000002-9C43-4F6D-86C0-A44C000D6808}"/>
            </c:ext>
          </c:extLst>
        </c:ser>
        <c:ser>
          <c:idx val="3"/>
          <c:order val="3"/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CAPA!$O$2:$P$2</c:f>
            </c:numRef>
          </c:xVal>
          <c:yVal>
            <c:numRef>
              <c:f>CAPA!$O$3:$P$3</c:f>
            </c:numRef>
          </c:yVal>
          <c:smooth val="0"/>
          <c:extLst>
            <c:ext xmlns:c16="http://schemas.microsoft.com/office/drawing/2014/chart" uri="{C3380CC4-5D6E-409C-BE32-E72D297353CC}">
              <c16:uniqueId val="{00000003-9C43-4F6D-86C0-A44C000D6808}"/>
            </c:ext>
          </c:extLst>
        </c:ser>
        <c:ser>
          <c:idx val="4"/>
          <c:order val="4"/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CAPA!$R$2:$S$2</c:f>
            </c:numRef>
          </c:xVal>
          <c:yVal>
            <c:numRef>
              <c:f>CAPA!$R$3:$S$3</c:f>
            </c:numRef>
          </c:yVal>
          <c:smooth val="0"/>
          <c:extLst>
            <c:ext xmlns:c16="http://schemas.microsoft.com/office/drawing/2014/chart" uri="{C3380CC4-5D6E-409C-BE32-E72D297353CC}">
              <c16:uniqueId val="{00000004-9C43-4F6D-86C0-A44C000D680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07993640"/>
        <c:axId val="307994424"/>
        <c:extLst>
          <c:ext xmlns:c15="http://schemas.microsoft.com/office/drawing/2012/chart" uri="{02D57815-91ED-43cb-92C2-25804820EDAC}">
            <c15:filteredScatterSeries>
              <c15:ser>
                <c:idx val="5"/>
                <c:order val="5"/>
                <c:tx>
                  <c:strRef>
                    <c:extLst>
                      <c:ext uri="{02D57815-91ED-43cb-92C2-25804820EDAC}">
                        <c15:formulaRef>
                          <c15:sqref>CAPA!$D$7</c15:sqref>
                        </c15:formulaRef>
                      </c:ext>
                    </c:extLst>
                    <c:strCache>
                      <c:ptCount val="1"/>
                      <c:pt idx="0">
                        <c:v>Nspt</c:v>
                      </c:pt>
                    </c:strCache>
                  </c:strRef>
                </c:tx>
                <c:spPr>
                  <a:ln w="19050" cap="rnd">
                    <a:solidFill>
                      <a:schemeClr val="accent6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6"/>
                    </a:solidFill>
                    <a:ln w="9525">
                      <a:solidFill>
                        <a:schemeClr val="accent6"/>
                      </a:solidFill>
                    </a:ln>
                    <a:effectLst/>
                  </c:spPr>
                </c:marker>
                <c:xVal>
                  <c:numRef>
                    <c:extLst>
                      <c:ext uri="{02D57815-91ED-43cb-92C2-25804820EDAC}">
                        <c15:formulaRef>
                          <c15:sqref>CAPA!$D$8:$D$57</c15:sqref>
                        </c15:formulaRef>
                      </c:ext>
                    </c:extLst>
                    <c:numCache>
                      <c:formatCode>0</c:formatCode>
                      <c:ptCount val="50"/>
                      <c:pt idx="1">
                        <c:v>5</c:v>
                      </c:pt>
                      <c:pt idx="2">
                        <c:v>5</c:v>
                      </c:pt>
                      <c:pt idx="3">
                        <c:v>2</c:v>
                      </c:pt>
                      <c:pt idx="4">
                        <c:v>3</c:v>
                      </c:pt>
                      <c:pt idx="5">
                        <c:v>2</c:v>
                      </c:pt>
                      <c:pt idx="6">
                        <c:v>4</c:v>
                      </c:pt>
                      <c:pt idx="7">
                        <c:v>4</c:v>
                      </c:pt>
                      <c:pt idx="8">
                        <c:v>7</c:v>
                      </c:pt>
                      <c:pt idx="9">
                        <c:v>9</c:v>
                      </c:pt>
                      <c:pt idx="10">
                        <c:v>9</c:v>
                      </c:pt>
                      <c:pt idx="11">
                        <c:v>7</c:v>
                      </c:pt>
                      <c:pt idx="12">
                        <c:v>7</c:v>
                      </c:pt>
                      <c:pt idx="13">
                        <c:v>9</c:v>
                      </c:pt>
                      <c:pt idx="14">
                        <c:v>14</c:v>
                      </c:pt>
                      <c:pt idx="15">
                        <c:v>16</c:v>
                      </c:pt>
                      <c:pt idx="16">
                        <c:v>15</c:v>
                      </c:pt>
                      <c:pt idx="17">
                        <c:v>13</c:v>
                      </c:pt>
                      <c:pt idx="18">
                        <c:v>14</c:v>
                      </c:pt>
                      <c:pt idx="19">
                        <c:v>16</c:v>
                      </c:pt>
                      <c:pt idx="20">
                        <c:v>21</c:v>
                      </c:pt>
                      <c:pt idx="21">
                        <c:v>28</c:v>
                      </c:pt>
                      <c:pt idx="22">
                        <c:v>25</c:v>
                      </c:pt>
                      <c:pt idx="23">
                        <c:v>30</c:v>
                      </c:pt>
                      <c:pt idx="24">
                        <c:v>37</c:v>
                      </c:pt>
                    </c:numCache>
                  </c:numRef>
                </c:xVal>
                <c:yVal>
                  <c:numRef>
                    <c:extLst>
                      <c:ext uri="{02D57815-91ED-43cb-92C2-25804820EDAC}">
                        <c15:formulaRef>
                          <c15:sqref>CAPA!$C$8:$C$57</c15:sqref>
                        </c15:formulaRef>
                      </c:ext>
                    </c:extLst>
                    <c:numCache>
                      <c:formatCode>General</c:formatCode>
                      <c:ptCount val="50"/>
                      <c:pt idx="0">
                        <c:v>0</c:v>
                      </c:pt>
                      <c:pt idx="1">
                        <c:v>1</c:v>
                      </c:pt>
                      <c:pt idx="2">
                        <c:v>2</c:v>
                      </c:pt>
                      <c:pt idx="3">
                        <c:v>3</c:v>
                      </c:pt>
                      <c:pt idx="4">
                        <c:v>4</c:v>
                      </c:pt>
                      <c:pt idx="5">
                        <c:v>5</c:v>
                      </c:pt>
                      <c:pt idx="6">
                        <c:v>6</c:v>
                      </c:pt>
                      <c:pt idx="7">
                        <c:v>7</c:v>
                      </c:pt>
                      <c:pt idx="8">
                        <c:v>8</c:v>
                      </c:pt>
                      <c:pt idx="9">
                        <c:v>9</c:v>
                      </c:pt>
                      <c:pt idx="10">
                        <c:v>10</c:v>
                      </c:pt>
                      <c:pt idx="11">
                        <c:v>11</c:v>
                      </c:pt>
                      <c:pt idx="12">
                        <c:v>12</c:v>
                      </c:pt>
                      <c:pt idx="13">
                        <c:v>13</c:v>
                      </c:pt>
                      <c:pt idx="14">
                        <c:v>14</c:v>
                      </c:pt>
                      <c:pt idx="15">
                        <c:v>15</c:v>
                      </c:pt>
                      <c:pt idx="16">
                        <c:v>16</c:v>
                      </c:pt>
                      <c:pt idx="17">
                        <c:v>17</c:v>
                      </c:pt>
                      <c:pt idx="18">
                        <c:v>18</c:v>
                      </c:pt>
                      <c:pt idx="19">
                        <c:v>19</c:v>
                      </c:pt>
                      <c:pt idx="20">
                        <c:v>20</c:v>
                      </c:pt>
                      <c:pt idx="21">
                        <c:v>21</c:v>
                      </c:pt>
                      <c:pt idx="22">
                        <c:v>22</c:v>
                      </c:pt>
                      <c:pt idx="23">
                        <c:v>23</c:v>
                      </c:pt>
                      <c:pt idx="24">
                        <c:v>24</c:v>
                      </c:pt>
                      <c:pt idx="25">
                        <c:v>25</c:v>
                      </c:pt>
                      <c:pt idx="26">
                        <c:v>26</c:v>
                      </c:pt>
                      <c:pt idx="27">
                        <c:v>27</c:v>
                      </c:pt>
                      <c:pt idx="28">
                        <c:v>28</c:v>
                      </c:pt>
                      <c:pt idx="29">
                        <c:v>29</c:v>
                      </c:pt>
                      <c:pt idx="30">
                        <c:v>30</c:v>
                      </c:pt>
                      <c:pt idx="31">
                        <c:v>31</c:v>
                      </c:pt>
                      <c:pt idx="32">
                        <c:v>32</c:v>
                      </c:pt>
                      <c:pt idx="33">
                        <c:v>33</c:v>
                      </c:pt>
                      <c:pt idx="34">
                        <c:v>34</c:v>
                      </c:pt>
                      <c:pt idx="35">
                        <c:v>35</c:v>
                      </c:pt>
                      <c:pt idx="36">
                        <c:v>36</c:v>
                      </c:pt>
                      <c:pt idx="37">
                        <c:v>37</c:v>
                      </c:pt>
                      <c:pt idx="38">
                        <c:v>38</c:v>
                      </c:pt>
                      <c:pt idx="39">
                        <c:v>39</c:v>
                      </c:pt>
                      <c:pt idx="40">
                        <c:v>40</c:v>
                      </c:pt>
                      <c:pt idx="41">
                        <c:v>41</c:v>
                      </c:pt>
                      <c:pt idx="42">
                        <c:v>42</c:v>
                      </c:pt>
                      <c:pt idx="43">
                        <c:v>43</c:v>
                      </c:pt>
                      <c:pt idx="44">
                        <c:v>44</c:v>
                      </c:pt>
                      <c:pt idx="45">
                        <c:v>45</c:v>
                      </c:pt>
                      <c:pt idx="46">
                        <c:v>46</c:v>
                      </c:pt>
                      <c:pt idx="47">
                        <c:v>47</c:v>
                      </c:pt>
                      <c:pt idx="48">
                        <c:v>48</c:v>
                      </c:pt>
                      <c:pt idx="49">
                        <c:v>49</c:v>
                      </c:pt>
                    </c:numCache>
                  </c:numRef>
                </c:yVal>
                <c:smooth val="0"/>
                <c:extLst>
                  <c:ext xmlns:c16="http://schemas.microsoft.com/office/drawing/2014/chart" uri="{C3380CC4-5D6E-409C-BE32-E72D297353CC}">
                    <c16:uniqueId val="{00000001-BD92-465C-B32A-A4894AC82F50}"/>
                  </c:ext>
                </c:extLst>
              </c15:ser>
            </c15:filteredScatterSeries>
          </c:ext>
        </c:extLst>
      </c:scatterChart>
      <c:valAx>
        <c:axId val="307993640"/>
        <c:scaling>
          <c:orientation val="minMax"/>
          <c:max val="45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307994424"/>
        <c:crosses val="autoZero"/>
        <c:crossBetween val="midCat"/>
        <c:majorUnit val="5"/>
      </c:valAx>
      <c:valAx>
        <c:axId val="307994424"/>
        <c:scaling>
          <c:orientation val="maxMin"/>
          <c:max val="5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400"/>
                  <a:t>Profundidade (m)</a:t>
                </a:r>
              </a:p>
            </c:rich>
          </c:tx>
          <c:layout>
            <c:manualLayout>
              <c:xMode val="edge"/>
              <c:yMode val="edge"/>
              <c:x val="5.7209763702127485E-3"/>
              <c:y val="0.4540696611877921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4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307993640"/>
        <c:crosses val="autoZero"/>
        <c:crossBetween val="midCat"/>
        <c:majorUnit val="2"/>
        <c:minorUnit val="1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600"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92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920" b="1"/>
              <a:t>Capacidade</a:t>
            </a:r>
            <a:r>
              <a:rPr lang="en-US" sz="1920" b="1" baseline="0"/>
              <a:t> de carga</a:t>
            </a:r>
            <a:endParaRPr lang="en-US" sz="1400" b="1" baseline="0"/>
          </a:p>
          <a:p>
            <a:pPr>
              <a:defRPr b="1"/>
            </a:pPr>
            <a:r>
              <a:rPr lang="en-US" sz="1400" b="1" baseline="0"/>
              <a:t>Aoki-Velloso (1975)</a:t>
            </a:r>
            <a:endParaRPr lang="en-US" sz="1920" b="1" baseline="0"/>
          </a:p>
        </c:rich>
      </c:tx>
      <c:layout>
        <c:manualLayout>
          <c:xMode val="edge"/>
          <c:yMode val="edge"/>
          <c:x val="0.17844419513332513"/>
          <c:y val="5.5031524353429083E-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92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>
        <c:manualLayout>
          <c:layoutTarget val="inner"/>
          <c:xMode val="edge"/>
          <c:yMode val="edge"/>
          <c:x val="0.20707277937455384"/>
          <c:y val="0.11354940862283319"/>
          <c:w val="0.70814849543576996"/>
          <c:h val="0.8602402551928543"/>
        </c:manualLayout>
      </c:layout>
      <c:scatterChart>
        <c:scatterStyle val="lineMarker"/>
        <c:varyColors val="0"/>
        <c:ser>
          <c:idx val="0"/>
          <c:order val="0"/>
          <c:tx>
            <c:v>Lateral</c:v>
          </c:tx>
          <c:spPr>
            <a:ln w="25400" cap="rnd">
              <a:solidFill>
                <a:schemeClr val="bg1">
                  <a:lumMod val="65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xVal>
            <c:numRef>
              <c:f>CALCULO!$X$7:$X$56</c:f>
              <c:numCache>
                <c:formatCode>0</c:formatCode>
                <c:ptCount val="50"/>
                <c:pt idx="0">
                  <c:v>#N/A</c:v>
                </c:pt>
                <c:pt idx="1">
                  <c:v>27.636566952632016</c:v>
                </c:pt>
                <c:pt idx="2">
                  <c:v>38.69119373368482</c:v>
                </c:pt>
                <c:pt idx="3">
                  <c:v>55.273133905264032</c:v>
                </c:pt>
                <c:pt idx="4">
                  <c:v>66.327760686316836</c:v>
                </c:pt>
                <c:pt idx="5">
                  <c:v>88.437014248422443</c:v>
                </c:pt>
                <c:pt idx="6">
                  <c:v>110.54626781052805</c:v>
                </c:pt>
                <c:pt idx="7">
                  <c:v>149.23746154421286</c:v>
                </c:pt>
                <c:pt idx="8">
                  <c:v>198.98328205895049</c:v>
                </c:pt>
                <c:pt idx="9">
                  <c:v>248.72910257368812</c:v>
                </c:pt>
                <c:pt idx="10">
                  <c:v>287.42029630737295</c:v>
                </c:pt>
                <c:pt idx="11">
                  <c:v>326.11149004105778</c:v>
                </c:pt>
                <c:pt idx="12">
                  <c:v>375.85731055579538</c:v>
                </c:pt>
                <c:pt idx="13">
                  <c:v>453.23969802316503</c:v>
                </c:pt>
                <c:pt idx="14">
                  <c:v>541.67671227158746</c:v>
                </c:pt>
                <c:pt idx="15">
                  <c:v>624.5864131294835</c:v>
                </c:pt>
                <c:pt idx="16">
                  <c:v>696.44148720632677</c:v>
                </c:pt>
                <c:pt idx="17">
                  <c:v>773.82387467369642</c:v>
                </c:pt>
                <c:pt idx="18">
                  <c:v>862.26088892211885</c:v>
                </c:pt>
                <c:pt idx="19">
                  <c:v>978.33447012317333</c:v>
                </c:pt>
                <c:pt idx="20">
                  <c:v>1133.0992450579126</c:v>
                </c:pt>
                <c:pt idx="21">
                  <c:v>1271.2820798210728</c:v>
                </c:pt>
                <c:pt idx="22">
                  <c:v>1437.1014815368649</c:v>
                </c:pt>
                <c:pt idx="23">
                  <c:v>1641.6120769863419</c:v>
                </c:pt>
                <c:pt idx="24">
                  <c:v>1641.6120769863419</c:v>
                </c:pt>
                <c:pt idx="25">
                  <c:v>1641.6120769863419</c:v>
                </c:pt>
                <c:pt idx="26">
                  <c:v>1641.6120769863419</c:v>
                </c:pt>
                <c:pt idx="27">
                  <c:v>1641.6120769863419</c:v>
                </c:pt>
                <c:pt idx="28">
                  <c:v>1641.6120769863419</c:v>
                </c:pt>
                <c:pt idx="29">
                  <c:v>1641.6120769863419</c:v>
                </c:pt>
                <c:pt idx="30">
                  <c:v>1641.6120769863419</c:v>
                </c:pt>
                <c:pt idx="31">
                  <c:v>1641.6120769863419</c:v>
                </c:pt>
                <c:pt idx="32">
                  <c:v>1641.6120769863419</c:v>
                </c:pt>
                <c:pt idx="33">
                  <c:v>1641.6120769863419</c:v>
                </c:pt>
                <c:pt idx="34">
                  <c:v>1641.6120769863419</c:v>
                </c:pt>
                <c:pt idx="35">
                  <c:v>1641.6120769863419</c:v>
                </c:pt>
                <c:pt idx="36">
                  <c:v>1641.6120769863419</c:v>
                </c:pt>
                <c:pt idx="37">
                  <c:v>1641.6120769863419</c:v>
                </c:pt>
                <c:pt idx="38">
                  <c:v>1641.6120769863419</c:v>
                </c:pt>
                <c:pt idx="39">
                  <c:v>1641.6120769863419</c:v>
                </c:pt>
                <c:pt idx="40">
                  <c:v>1641.6120769863419</c:v>
                </c:pt>
                <c:pt idx="41">
                  <c:v>1641.6120769863419</c:v>
                </c:pt>
                <c:pt idx="42">
                  <c:v>1641.6120769863419</c:v>
                </c:pt>
                <c:pt idx="43">
                  <c:v>1641.6120769863419</c:v>
                </c:pt>
                <c:pt idx="44">
                  <c:v>1641.6120769863419</c:v>
                </c:pt>
                <c:pt idx="45">
                  <c:v>1641.6120769863419</c:v>
                </c:pt>
                <c:pt idx="46">
                  <c:v>1641.6120769863419</c:v>
                </c:pt>
                <c:pt idx="47">
                  <c:v>1641.6120769863419</c:v>
                </c:pt>
                <c:pt idx="48">
                  <c:v>1641.6120769863419</c:v>
                </c:pt>
                <c:pt idx="49">
                  <c:v>1641.6120769863419</c:v>
                </c:pt>
              </c:numCache>
            </c:numRef>
          </c:xVal>
          <c:yVal>
            <c:numRef>
              <c:f>CALCULO!$E$7:$E$56</c:f>
              <c:numCache>
                <c:formatCode>General</c:formatCode>
                <c:ptCount val="5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A898-4DBB-88D2-9C9F63F2EF6E}"/>
            </c:ext>
          </c:extLst>
        </c:ser>
        <c:ser>
          <c:idx val="1"/>
          <c:order val="1"/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CAPA!$M$2:$M$3</c:f>
            </c:numRef>
          </c:xVal>
          <c:yVal>
            <c:numRef>
              <c:f>CAPA!$K$2:$K$3</c:f>
            </c:numRef>
          </c:yVal>
          <c:smooth val="0"/>
          <c:extLst>
            <c:ext xmlns:c16="http://schemas.microsoft.com/office/drawing/2014/chart" uri="{C3380CC4-5D6E-409C-BE32-E72D297353CC}">
              <c16:uniqueId val="{00000001-A898-4DBB-88D2-9C9F63F2EF6E}"/>
            </c:ext>
          </c:extLst>
        </c:ser>
        <c:ser>
          <c:idx val="2"/>
          <c:order val="2"/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CAPA!$I$2:$I$3</c:f>
            </c:numRef>
          </c:xVal>
          <c:yVal>
            <c:numRef>
              <c:f>CAPA!$H$2:$H$3</c:f>
            </c:numRef>
          </c:yVal>
          <c:smooth val="0"/>
          <c:extLst>
            <c:ext xmlns:c16="http://schemas.microsoft.com/office/drawing/2014/chart" uri="{C3380CC4-5D6E-409C-BE32-E72D297353CC}">
              <c16:uniqueId val="{00000002-A898-4DBB-88D2-9C9F63F2EF6E}"/>
            </c:ext>
          </c:extLst>
        </c:ser>
        <c:ser>
          <c:idx val="3"/>
          <c:order val="3"/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CAPA!$O$2:$P$2</c:f>
            </c:numRef>
          </c:xVal>
          <c:yVal>
            <c:numRef>
              <c:f>CAPA!$O$3:$P$3</c:f>
            </c:numRef>
          </c:yVal>
          <c:smooth val="0"/>
          <c:extLst>
            <c:ext xmlns:c16="http://schemas.microsoft.com/office/drawing/2014/chart" uri="{C3380CC4-5D6E-409C-BE32-E72D297353CC}">
              <c16:uniqueId val="{00000003-A898-4DBB-88D2-9C9F63F2EF6E}"/>
            </c:ext>
          </c:extLst>
        </c:ser>
        <c:ser>
          <c:idx val="4"/>
          <c:order val="4"/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CAPA!$R$2:$S$2</c:f>
            </c:numRef>
          </c:xVal>
          <c:yVal>
            <c:numRef>
              <c:f>CAPA!$R$3:$S$3</c:f>
            </c:numRef>
          </c:yVal>
          <c:smooth val="0"/>
          <c:extLst>
            <c:ext xmlns:c16="http://schemas.microsoft.com/office/drawing/2014/chart" uri="{C3380CC4-5D6E-409C-BE32-E72D297353CC}">
              <c16:uniqueId val="{00000004-A898-4DBB-88D2-9C9F63F2EF6E}"/>
            </c:ext>
          </c:extLst>
        </c:ser>
        <c:ser>
          <c:idx val="5"/>
          <c:order val="5"/>
          <c:tx>
            <c:v>Ponta</c:v>
          </c:tx>
          <c:spPr>
            <a:ln w="25400" cap="rnd">
              <a:solidFill>
                <a:schemeClr val="bg1">
                  <a:lumMod val="65000"/>
                </a:schemeClr>
              </a:solidFill>
              <a:prstDash val="sysDot"/>
              <a:round/>
            </a:ln>
            <a:effectLst/>
          </c:spPr>
          <c:marker>
            <c:symbol val="none"/>
          </c:marker>
          <c:xVal>
            <c:numRef>
              <c:f>CALCULO!$Y$7:$Y$56</c:f>
              <c:numCache>
                <c:formatCode>0</c:formatCode>
                <c:ptCount val="50"/>
                <c:pt idx="0">
                  <c:v>#N/A</c:v>
                </c:pt>
                <c:pt idx="1">
                  <c:v>47.903382717895497</c:v>
                </c:pt>
                <c:pt idx="2">
                  <c:v>71.855074076843238</c:v>
                </c:pt>
                <c:pt idx="3">
                  <c:v>47.903382717895497</c:v>
                </c:pt>
                <c:pt idx="4">
                  <c:v>95.806765435790993</c:v>
                </c:pt>
                <c:pt idx="5">
                  <c:v>95.806765435790993</c:v>
                </c:pt>
                <c:pt idx="6">
                  <c:v>167.66183951263423</c:v>
                </c:pt>
                <c:pt idx="7">
                  <c:v>215.56522223052974</c:v>
                </c:pt>
                <c:pt idx="8">
                  <c:v>215.56522223052974</c:v>
                </c:pt>
                <c:pt idx="9">
                  <c:v>167.66183951263423</c:v>
                </c:pt>
                <c:pt idx="10">
                  <c:v>167.66183951263423</c:v>
                </c:pt>
                <c:pt idx="11">
                  <c:v>215.56522223052974</c:v>
                </c:pt>
                <c:pt idx="12">
                  <c:v>335.32367902526846</c:v>
                </c:pt>
                <c:pt idx="13">
                  <c:v>383.22706174316397</c:v>
                </c:pt>
                <c:pt idx="14">
                  <c:v>359.27537038421622</c:v>
                </c:pt>
                <c:pt idx="15">
                  <c:v>311.37198766632071</c:v>
                </c:pt>
                <c:pt idx="16">
                  <c:v>335.32367902526846</c:v>
                </c:pt>
                <c:pt idx="17">
                  <c:v>383.22706174316397</c:v>
                </c:pt>
                <c:pt idx="18">
                  <c:v>502.98551853790269</c:v>
                </c:pt>
                <c:pt idx="19">
                  <c:v>670.64735805053692</c:v>
                </c:pt>
                <c:pt idx="20">
                  <c:v>598.79228397369366</c:v>
                </c:pt>
                <c:pt idx="21">
                  <c:v>718.55074076843243</c:v>
                </c:pt>
                <c:pt idx="22">
                  <c:v>886.21258028106672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</c:numCache>
            </c:numRef>
          </c:xVal>
          <c:yVal>
            <c:numRef>
              <c:f>CALCULO!$E$7:$E$56</c:f>
              <c:numCache>
                <c:formatCode>General</c:formatCode>
                <c:ptCount val="5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A898-4DBB-88D2-9C9F63F2EF6E}"/>
            </c:ext>
          </c:extLst>
        </c:ser>
        <c:ser>
          <c:idx val="6"/>
          <c:order val="6"/>
          <c:tx>
            <c:v>Total</c:v>
          </c:tx>
          <c:spPr>
            <a:ln w="19050" cap="rnd">
              <a:solidFill>
                <a:schemeClr val="bg1">
                  <a:lumMod val="65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CALCULO!$Z$7:$Z$56</c:f>
              <c:numCache>
                <c:formatCode>0</c:formatCode>
                <c:ptCount val="50"/>
                <c:pt idx="0">
                  <c:v>#N/A</c:v>
                </c:pt>
                <c:pt idx="1">
                  <c:v>75.539949670527506</c:v>
                </c:pt>
                <c:pt idx="2">
                  <c:v>110.54626781052806</c:v>
                </c:pt>
                <c:pt idx="3">
                  <c:v>103.17651662315953</c:v>
                </c:pt>
                <c:pt idx="4">
                  <c:v>162.13452612210784</c:v>
                </c:pt>
                <c:pt idx="5">
                  <c:v>184.24377968421345</c:v>
                </c:pt>
                <c:pt idx="6">
                  <c:v>278.20810732316227</c:v>
                </c:pt>
                <c:pt idx="7">
                  <c:v>364.8026837747426</c:v>
                </c:pt>
                <c:pt idx="8">
                  <c:v>414.54850428948021</c:v>
                </c:pt>
                <c:pt idx="9">
                  <c:v>416.39094208632235</c:v>
                </c:pt>
                <c:pt idx="10">
                  <c:v>455.08213582000718</c:v>
                </c:pt>
                <c:pt idx="11">
                  <c:v>541.67671227158758</c:v>
                </c:pt>
                <c:pt idx="12">
                  <c:v>711.18098958106384</c:v>
                </c:pt>
                <c:pt idx="13">
                  <c:v>836.46675976632901</c:v>
                </c:pt>
                <c:pt idx="14">
                  <c:v>900.95208265580368</c:v>
                </c:pt>
                <c:pt idx="15">
                  <c:v>935.95840079580421</c:v>
                </c:pt>
                <c:pt idx="16">
                  <c:v>1031.7651662315952</c:v>
                </c:pt>
                <c:pt idx="17">
                  <c:v>1157.0509364168604</c:v>
                </c:pt>
                <c:pt idx="18">
                  <c:v>1365.2464074600216</c:v>
                </c:pt>
                <c:pt idx="19">
                  <c:v>1648.9818281737103</c:v>
                </c:pt>
                <c:pt idx="20">
                  <c:v>1731.8915290316063</c:v>
                </c:pt>
                <c:pt idx="21">
                  <c:v>1989.8328205895052</c:v>
                </c:pt>
                <c:pt idx="22">
                  <c:v>2323.3140618179314</c:v>
                </c:pt>
                <c:pt idx="23">
                  <c:v>1641.6120769863419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</c:numCache>
            </c:numRef>
          </c:xVal>
          <c:yVal>
            <c:numRef>
              <c:f>CALCULO!$E$7:$E$56</c:f>
              <c:numCache>
                <c:formatCode>General</c:formatCode>
                <c:ptCount val="5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A898-4DBB-88D2-9C9F63F2EF6E}"/>
            </c:ext>
          </c:extLst>
        </c:ser>
        <c:ser>
          <c:idx val="7"/>
          <c:order val="7"/>
          <c:tx>
            <c:v>Radm</c:v>
          </c:tx>
          <c:spPr>
            <a:ln w="19050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xVal>
            <c:numRef>
              <c:f>CALCULO!$AA$7:$AA$56</c:f>
              <c:numCache>
                <c:formatCode>0</c:formatCode>
                <c:ptCount val="50"/>
                <c:pt idx="0">
                  <c:v>#N/A</c:v>
                </c:pt>
                <c:pt idx="1">
                  <c:v>39.757868247646059</c:v>
                </c:pt>
                <c:pt idx="2">
                  <c:v>58.182246216067405</c:v>
                </c:pt>
                <c:pt idx="3">
                  <c:v>54.303429801662915</c:v>
                </c:pt>
                <c:pt idx="4">
                  <c:v>85.333961116898863</c:v>
                </c:pt>
                <c:pt idx="5">
                  <c:v>96.970410360112353</c:v>
                </c:pt>
                <c:pt idx="6">
                  <c:v>146.42531964376963</c:v>
                </c:pt>
                <c:pt idx="7">
                  <c:v>192.00141251302244</c:v>
                </c:pt>
                <c:pt idx="8">
                  <c:v>218.18342331025275</c:v>
                </c:pt>
                <c:pt idx="9">
                  <c:v>219.15312741385389</c:v>
                </c:pt>
                <c:pt idx="10">
                  <c:v>239.51691358947747</c:v>
                </c:pt>
                <c:pt idx="11">
                  <c:v>285.09300645873031</c:v>
                </c:pt>
                <c:pt idx="12">
                  <c:v>374.3057839900336</c:v>
                </c:pt>
                <c:pt idx="13">
                  <c:v>440.24566303491002</c:v>
                </c:pt>
                <c:pt idx="14">
                  <c:v>474.18530666094932</c:v>
                </c:pt>
                <c:pt idx="15">
                  <c:v>492.60968462937063</c:v>
                </c:pt>
                <c:pt idx="16">
                  <c:v>543.03429801662912</c:v>
                </c:pt>
                <c:pt idx="17">
                  <c:v>608.97417706150554</c:v>
                </c:pt>
                <c:pt idx="18">
                  <c:v>718.55074076843243</c:v>
                </c:pt>
                <c:pt idx="19">
                  <c:v>867.88517272300544</c:v>
                </c:pt>
                <c:pt idx="20">
                  <c:v>911.52185738505602</c:v>
                </c:pt>
                <c:pt idx="21">
                  <c:v>1047.2804318892133</c:v>
                </c:pt>
                <c:pt idx="22">
                  <c:v>1222.7968746410165</c:v>
                </c:pt>
                <c:pt idx="23">
                  <c:v>864.00635630860108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</c:numCache>
            </c:numRef>
          </c:xVal>
          <c:yVal>
            <c:numRef>
              <c:f>CALCULO!$E$7:$E$56</c:f>
              <c:numCache>
                <c:formatCode>General</c:formatCode>
                <c:ptCount val="5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A898-4DBB-88D2-9C9F63F2EF6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07994032"/>
        <c:axId val="307992072"/>
      </c:scatterChart>
      <c:valAx>
        <c:axId val="307994032"/>
        <c:scaling>
          <c:orientation val="minMax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307992072"/>
        <c:crosses val="autoZero"/>
        <c:crossBetween val="midCat"/>
      </c:valAx>
      <c:valAx>
        <c:axId val="307992072"/>
        <c:scaling>
          <c:orientation val="maxMin"/>
          <c:max val="5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400"/>
                  <a:t>Profundidade (m)</a:t>
                </a:r>
              </a:p>
            </c:rich>
          </c:tx>
          <c:layout>
            <c:manualLayout>
              <c:xMode val="edge"/>
              <c:yMode val="edge"/>
              <c:x val="1.5219059565937741E-3"/>
              <c:y val="0.4528045521282416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4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307994032"/>
        <c:crosses val="autoZero"/>
        <c:crossBetween val="midCat"/>
        <c:majorUnit val="2"/>
        <c:minorUnit val="1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57026350714042062"/>
          <c:y val="0.11830144256126669"/>
          <c:w val="0.31547664258676433"/>
          <c:h val="0.13208162732655826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600"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92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920" b="1"/>
              <a:t>Capacidade</a:t>
            </a:r>
            <a:r>
              <a:rPr lang="en-US" sz="1920" b="1" baseline="0"/>
              <a:t> de carga</a:t>
            </a:r>
            <a:endParaRPr lang="en-US" sz="1400" b="1" baseline="0"/>
          </a:p>
          <a:p>
            <a:pPr>
              <a:defRPr b="1"/>
            </a:pPr>
            <a:r>
              <a:rPr lang="en-US" sz="1400" b="1" baseline="0"/>
              <a:t>Décourt-Quaresma (1996)</a:t>
            </a:r>
            <a:endParaRPr lang="en-US" sz="1920" b="1" baseline="0"/>
          </a:p>
        </c:rich>
      </c:tx>
      <c:layout>
        <c:manualLayout>
          <c:xMode val="edge"/>
          <c:yMode val="edge"/>
          <c:x val="0.11283269297430507"/>
          <c:y val="1.0411772298954433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92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>
        <c:manualLayout>
          <c:layoutTarget val="inner"/>
          <c:xMode val="edge"/>
          <c:yMode val="edge"/>
          <c:x val="0.20707277937455384"/>
          <c:y val="0.11354940862283319"/>
          <c:w val="0.70814849543576996"/>
          <c:h val="0.8602402551928543"/>
        </c:manualLayout>
      </c:layout>
      <c:scatterChart>
        <c:scatterStyle val="lineMarker"/>
        <c:varyColors val="0"/>
        <c:ser>
          <c:idx val="0"/>
          <c:order val="0"/>
          <c:tx>
            <c:v>Lateral</c:v>
          </c:tx>
          <c:spPr>
            <a:ln w="25400" cap="rnd">
              <a:solidFill>
                <a:schemeClr val="bg1">
                  <a:lumMod val="65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xVal>
            <c:numRef>
              <c:f>CALCULO!$AL$7:$AL$56</c:f>
              <c:numCache>
                <c:formatCode>0</c:formatCode>
                <c:ptCount val="50"/>
                <c:pt idx="0">
                  <c:v>#N/A</c:v>
                </c:pt>
                <c:pt idx="1">
                  <c:v>21.781709064889238</c:v>
                </c:pt>
                <c:pt idx="2">
                  <c:v>35.395277230445004</c:v>
                </c:pt>
                <c:pt idx="3">
                  <c:v>51.731559029111928</c:v>
                </c:pt>
                <c:pt idx="4">
                  <c:v>65.345127194667697</c:v>
                </c:pt>
                <c:pt idx="5">
                  <c:v>84.404122626445769</c:v>
                </c:pt>
                <c:pt idx="6">
                  <c:v>103.46311805822384</c:v>
                </c:pt>
                <c:pt idx="7">
                  <c:v>130.69025438933539</c:v>
                </c:pt>
                <c:pt idx="8">
                  <c:v>163.36281798666926</c:v>
                </c:pt>
                <c:pt idx="9">
                  <c:v>196.03538158400312</c:v>
                </c:pt>
                <c:pt idx="10">
                  <c:v>223.26251791511467</c:v>
                </c:pt>
                <c:pt idx="11">
                  <c:v>250.48965424622622</c:v>
                </c:pt>
                <c:pt idx="12">
                  <c:v>283.16221784356009</c:v>
                </c:pt>
                <c:pt idx="13">
                  <c:v>329.44834960644971</c:v>
                </c:pt>
                <c:pt idx="14">
                  <c:v>381.17990863556162</c:v>
                </c:pt>
                <c:pt idx="15">
                  <c:v>430.18875403156238</c:v>
                </c:pt>
                <c:pt idx="16">
                  <c:v>473.75217216134087</c:v>
                </c:pt>
                <c:pt idx="17">
                  <c:v>520.03830392423049</c:v>
                </c:pt>
                <c:pt idx="18">
                  <c:v>571.76986295334245</c:v>
                </c:pt>
                <c:pt idx="19">
                  <c:v>637.11499014801018</c:v>
                </c:pt>
                <c:pt idx="20">
                  <c:v>721.51911277445595</c:v>
                </c:pt>
                <c:pt idx="21">
                  <c:v>797.75509450156824</c:v>
                </c:pt>
                <c:pt idx="22">
                  <c:v>887.60464439423629</c:v>
                </c:pt>
                <c:pt idx="23">
                  <c:v>996.5131897186825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</c:numCache>
            </c:numRef>
          </c:xVal>
          <c:yVal>
            <c:numRef>
              <c:f>CALCULO!$E$7:$E$56</c:f>
              <c:numCache>
                <c:formatCode>General</c:formatCode>
                <c:ptCount val="5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79B5-4627-8FBE-006E3C4CE708}"/>
            </c:ext>
          </c:extLst>
        </c:ser>
        <c:ser>
          <c:idx val="1"/>
          <c:order val="1"/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CAPA!$M$2:$M$3</c:f>
            </c:numRef>
          </c:xVal>
          <c:yVal>
            <c:numRef>
              <c:f>CAPA!$K$2:$K$3</c:f>
            </c:numRef>
          </c:yVal>
          <c:smooth val="0"/>
          <c:extLst>
            <c:ext xmlns:c16="http://schemas.microsoft.com/office/drawing/2014/chart" uri="{C3380CC4-5D6E-409C-BE32-E72D297353CC}">
              <c16:uniqueId val="{00000001-79B5-4627-8FBE-006E3C4CE708}"/>
            </c:ext>
          </c:extLst>
        </c:ser>
        <c:ser>
          <c:idx val="2"/>
          <c:order val="2"/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CAPA!$I$2:$I$3</c:f>
            </c:numRef>
          </c:xVal>
          <c:yVal>
            <c:numRef>
              <c:f>CAPA!$H$2:$H$3</c:f>
            </c:numRef>
          </c:yVal>
          <c:smooth val="0"/>
          <c:extLst>
            <c:ext xmlns:c16="http://schemas.microsoft.com/office/drawing/2014/chart" uri="{C3380CC4-5D6E-409C-BE32-E72D297353CC}">
              <c16:uniqueId val="{00000002-79B5-4627-8FBE-006E3C4CE708}"/>
            </c:ext>
          </c:extLst>
        </c:ser>
        <c:ser>
          <c:idx val="3"/>
          <c:order val="3"/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CAPA!$O$2:$P$2</c:f>
            </c:numRef>
          </c:xVal>
          <c:yVal>
            <c:numRef>
              <c:f>CAPA!$O$3:$P$3</c:f>
            </c:numRef>
          </c:yVal>
          <c:smooth val="0"/>
          <c:extLst>
            <c:ext xmlns:c16="http://schemas.microsoft.com/office/drawing/2014/chart" uri="{C3380CC4-5D6E-409C-BE32-E72D297353CC}">
              <c16:uniqueId val="{00000003-79B5-4627-8FBE-006E3C4CE708}"/>
            </c:ext>
          </c:extLst>
        </c:ser>
        <c:ser>
          <c:idx val="4"/>
          <c:order val="4"/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CAPA!$R$2:$S$2</c:f>
            </c:numRef>
          </c:xVal>
          <c:yVal>
            <c:numRef>
              <c:f>CAPA!$R$3:$S$3</c:f>
            </c:numRef>
          </c:yVal>
          <c:smooth val="0"/>
          <c:extLst>
            <c:ext xmlns:c16="http://schemas.microsoft.com/office/drawing/2014/chart" uri="{C3380CC4-5D6E-409C-BE32-E72D297353CC}">
              <c16:uniqueId val="{00000004-79B5-4627-8FBE-006E3C4CE708}"/>
            </c:ext>
          </c:extLst>
        </c:ser>
        <c:ser>
          <c:idx val="5"/>
          <c:order val="5"/>
          <c:tx>
            <c:v>Ponta</c:v>
          </c:tx>
          <c:spPr>
            <a:ln w="25400" cap="rnd">
              <a:solidFill>
                <a:schemeClr val="bg1">
                  <a:lumMod val="65000"/>
                </a:schemeClr>
              </a:solidFill>
              <a:prstDash val="sysDot"/>
              <a:round/>
            </a:ln>
            <a:effectLst/>
          </c:spPr>
          <c:marker>
            <c:symbol val="none"/>
          </c:marker>
          <c:xVal>
            <c:numRef>
              <c:f>CALCULO!$AM$7:$AM$56</c:f>
              <c:numCache>
                <c:formatCode>#,##0</c:formatCode>
                <c:ptCount val="50"/>
                <c:pt idx="0">
                  <c:v>#N/A</c:v>
                </c:pt>
                <c:pt idx="1">
                  <c:v>44.244096538056262</c:v>
                </c:pt>
                <c:pt idx="2">
                  <c:v>30.970867576639385</c:v>
                </c:pt>
                <c:pt idx="3">
                  <c:v>39.819686884250636</c:v>
                </c:pt>
                <c:pt idx="4">
                  <c:v>44.244096538056262</c:v>
                </c:pt>
                <c:pt idx="5">
                  <c:v>66.366144807084396</c:v>
                </c:pt>
                <c:pt idx="6">
                  <c:v>88.488193076112523</c:v>
                </c:pt>
                <c:pt idx="7">
                  <c:v>110.61024134514066</c:v>
                </c:pt>
                <c:pt idx="8">
                  <c:v>110.61024134514066</c:v>
                </c:pt>
                <c:pt idx="9">
                  <c:v>101.7614220375294</c:v>
                </c:pt>
                <c:pt idx="10">
                  <c:v>101.7614220375294</c:v>
                </c:pt>
                <c:pt idx="11">
                  <c:v>132.73228961416879</c:v>
                </c:pt>
                <c:pt idx="12">
                  <c:v>172.55197649841941</c:v>
                </c:pt>
                <c:pt idx="13">
                  <c:v>199.09843442125316</c:v>
                </c:pt>
                <c:pt idx="14">
                  <c:v>194.67402476744755</c:v>
                </c:pt>
                <c:pt idx="15">
                  <c:v>185.8252054598363</c:v>
                </c:pt>
                <c:pt idx="16">
                  <c:v>190.24961511364194</c:v>
                </c:pt>
                <c:pt idx="17">
                  <c:v>225.64489234408694</c:v>
                </c:pt>
                <c:pt idx="18">
                  <c:v>287.58662749736573</c:v>
                </c:pt>
                <c:pt idx="19">
                  <c:v>327.40631438161637</c:v>
                </c:pt>
                <c:pt idx="20">
                  <c:v>367.22600126586696</c:v>
                </c:pt>
                <c:pt idx="21">
                  <c:v>407.0456881501176</c:v>
                </c:pt>
                <c:pt idx="22">
                  <c:v>296.43544680497695</c:v>
                </c:pt>
                <c:pt idx="23">
                  <c:v>163.70315719080818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</c:numCache>
            </c:numRef>
          </c:xVal>
          <c:yVal>
            <c:numRef>
              <c:f>CALCULO!$E$7:$E$56</c:f>
              <c:numCache>
                <c:formatCode>General</c:formatCode>
                <c:ptCount val="5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79B5-4627-8FBE-006E3C4CE708}"/>
            </c:ext>
          </c:extLst>
        </c:ser>
        <c:ser>
          <c:idx val="6"/>
          <c:order val="6"/>
          <c:tx>
            <c:v>Total</c:v>
          </c:tx>
          <c:spPr>
            <a:ln w="19050" cap="rnd">
              <a:solidFill>
                <a:schemeClr val="bg1">
                  <a:lumMod val="65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CALCULO!$AN$7:$AN$56</c:f>
              <c:numCache>
                <c:formatCode>#,##0</c:formatCode>
                <c:ptCount val="50"/>
                <c:pt idx="0">
                  <c:v>#N/A</c:v>
                </c:pt>
                <c:pt idx="1">
                  <c:v>66.025805602945496</c:v>
                </c:pt>
                <c:pt idx="2">
                  <c:v>66.366144807084396</c:v>
                </c:pt>
                <c:pt idx="3">
                  <c:v>91.551245913362564</c:v>
                </c:pt>
                <c:pt idx="4">
                  <c:v>109.58922373272395</c:v>
                </c:pt>
                <c:pt idx="5">
                  <c:v>150.77026743353017</c:v>
                </c:pt>
                <c:pt idx="6">
                  <c:v>191.95131113433638</c:v>
                </c:pt>
                <c:pt idx="7">
                  <c:v>241.30049573447604</c:v>
                </c:pt>
                <c:pt idx="8">
                  <c:v>273.97305933180991</c:v>
                </c:pt>
                <c:pt idx="9">
                  <c:v>297.79680362153249</c:v>
                </c:pt>
                <c:pt idx="10">
                  <c:v>325.02393995264407</c:v>
                </c:pt>
                <c:pt idx="11">
                  <c:v>383.22194386039502</c:v>
                </c:pt>
                <c:pt idx="12">
                  <c:v>455.71419434197946</c:v>
                </c:pt>
                <c:pt idx="13">
                  <c:v>528.54678402770287</c:v>
                </c:pt>
                <c:pt idx="14">
                  <c:v>575.85393340300914</c:v>
                </c:pt>
                <c:pt idx="15">
                  <c:v>616.01395949139874</c:v>
                </c:pt>
                <c:pt idx="16">
                  <c:v>664.0017872749828</c:v>
                </c:pt>
                <c:pt idx="17">
                  <c:v>745.68319626831749</c:v>
                </c:pt>
                <c:pt idx="18">
                  <c:v>859.35649045070818</c:v>
                </c:pt>
                <c:pt idx="19">
                  <c:v>964.5213045296266</c:v>
                </c:pt>
                <c:pt idx="20">
                  <c:v>1088.745114040323</c:v>
                </c:pt>
                <c:pt idx="21">
                  <c:v>1204.8007826516859</c:v>
                </c:pt>
                <c:pt idx="22">
                  <c:v>1184.0400911992133</c:v>
                </c:pt>
                <c:pt idx="23">
                  <c:v>1160.2163469094908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</c:numCache>
            </c:numRef>
          </c:xVal>
          <c:yVal>
            <c:numRef>
              <c:f>CALCULO!$E$7:$E$56</c:f>
              <c:numCache>
                <c:formatCode>General</c:formatCode>
                <c:ptCount val="5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79B5-4627-8FBE-006E3C4CE708}"/>
            </c:ext>
          </c:extLst>
        </c:ser>
        <c:ser>
          <c:idx val="7"/>
          <c:order val="7"/>
          <c:tx>
            <c:v>Radm</c:v>
          </c:tx>
          <c:spPr>
            <a:ln w="19050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xVal>
            <c:numRef>
              <c:f>CALCULO!$AO$7:$AO$56</c:f>
              <c:numCache>
                <c:formatCode>#,##0</c:formatCode>
                <c:ptCount val="50"/>
                <c:pt idx="0">
                  <c:v>#N/A</c:v>
                </c:pt>
                <c:pt idx="1">
                  <c:v>33.012902801472748</c:v>
                </c:pt>
                <c:pt idx="2">
                  <c:v>33.183072403542198</c:v>
                </c:pt>
                <c:pt idx="3">
                  <c:v>45.775622956681282</c:v>
                </c:pt>
                <c:pt idx="4">
                  <c:v>54.794611866361976</c:v>
                </c:pt>
                <c:pt idx="5">
                  <c:v>75.385133716765083</c:v>
                </c:pt>
                <c:pt idx="6">
                  <c:v>95.975655567168189</c:v>
                </c:pt>
                <c:pt idx="7">
                  <c:v>120.65024786723802</c:v>
                </c:pt>
                <c:pt idx="8">
                  <c:v>136.98652966590495</c:v>
                </c:pt>
                <c:pt idx="9">
                  <c:v>148.89840181076625</c:v>
                </c:pt>
                <c:pt idx="10">
                  <c:v>162.51196997632204</c:v>
                </c:pt>
                <c:pt idx="11">
                  <c:v>191.61097193019751</c:v>
                </c:pt>
                <c:pt idx="12">
                  <c:v>227.85709717098973</c:v>
                </c:pt>
                <c:pt idx="13">
                  <c:v>264.27339201385143</c:v>
                </c:pt>
                <c:pt idx="14">
                  <c:v>287.92696670150457</c:v>
                </c:pt>
                <c:pt idx="15">
                  <c:v>308.00697974569937</c:v>
                </c:pt>
                <c:pt idx="16">
                  <c:v>332.0008936374914</c:v>
                </c:pt>
                <c:pt idx="17">
                  <c:v>372.84159813415874</c:v>
                </c:pt>
                <c:pt idx="18">
                  <c:v>429.67824522535409</c:v>
                </c:pt>
                <c:pt idx="19">
                  <c:v>482.2606522648133</c:v>
                </c:pt>
                <c:pt idx="20">
                  <c:v>544.37255702016148</c:v>
                </c:pt>
                <c:pt idx="21">
                  <c:v>602.40039132584297</c:v>
                </c:pt>
                <c:pt idx="22">
                  <c:v>592.02004559960665</c:v>
                </c:pt>
                <c:pt idx="23">
                  <c:v>580.10817345474538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</c:numCache>
            </c:numRef>
          </c:xVal>
          <c:yVal>
            <c:numRef>
              <c:f>CALCULO!$E$7:$E$56</c:f>
              <c:numCache>
                <c:formatCode>General</c:formatCode>
                <c:ptCount val="5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79B5-4627-8FBE-006E3C4CE70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07995600"/>
        <c:axId val="307992856"/>
      </c:scatterChart>
      <c:valAx>
        <c:axId val="307995600"/>
        <c:scaling>
          <c:orientation val="minMax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307992856"/>
        <c:crosses val="autoZero"/>
        <c:crossBetween val="midCat"/>
      </c:valAx>
      <c:valAx>
        <c:axId val="307992856"/>
        <c:scaling>
          <c:orientation val="maxMin"/>
          <c:max val="5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400"/>
                  <a:t>Profundidade (m)</a:t>
                </a:r>
              </a:p>
            </c:rich>
          </c:tx>
          <c:layout>
            <c:manualLayout>
              <c:xMode val="edge"/>
              <c:yMode val="edge"/>
              <c:x val="1.5220057268196339E-3"/>
              <c:y val="0.4478865367238931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4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307995600"/>
        <c:crosses val="autoZero"/>
        <c:crossBetween val="midCat"/>
        <c:majorUnit val="2"/>
        <c:minorUnit val="1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56945946686355986"/>
          <c:y val="0.11649386226526071"/>
          <c:w val="0.31428004664440506"/>
          <c:h val="9.937002768498724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600"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92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920" b="1"/>
              <a:t>Capacidade</a:t>
            </a:r>
            <a:r>
              <a:rPr lang="en-US" sz="1920" b="1" baseline="0"/>
              <a:t> de carga</a:t>
            </a:r>
            <a:endParaRPr lang="en-US" sz="1400" b="1" baseline="0"/>
          </a:p>
          <a:p>
            <a:pPr>
              <a:defRPr sz="192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400" b="1" baseline="0"/>
              <a:t>Teixeira (1996)</a:t>
            </a:r>
            <a:endParaRPr lang="en-US" sz="1920" b="1" baseline="0"/>
          </a:p>
        </c:rich>
      </c:tx>
      <c:layout>
        <c:manualLayout>
          <c:xMode val="edge"/>
          <c:yMode val="edge"/>
          <c:x val="0.15672668018820954"/>
          <c:y val="2.6845915632814584E-3"/>
        </c:manualLayout>
      </c:layout>
      <c:overlay val="0"/>
      <c:spPr>
        <a:noFill/>
        <a:ln>
          <a:noFill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0.20707277937455384"/>
          <c:y val="0.11354940862283319"/>
          <c:w val="0.70814849543576996"/>
          <c:h val="0.8602402551928543"/>
        </c:manualLayout>
      </c:layout>
      <c:scatterChart>
        <c:scatterStyle val="lineMarker"/>
        <c:varyColors val="0"/>
        <c:ser>
          <c:idx val="8"/>
          <c:order val="0"/>
          <c:tx>
            <c:v>Lateral</c:v>
          </c:tx>
          <c:spPr>
            <a:ln w="25400">
              <a:solidFill>
                <a:schemeClr val="bg1">
                  <a:lumMod val="65000"/>
                </a:schemeClr>
              </a:solidFill>
              <a:prstDash val="sysDash"/>
            </a:ln>
          </c:spPr>
          <c:marker>
            <c:symbol val="none"/>
          </c:marker>
          <c:xVal>
            <c:numRef>
              <c:f>CALCULO!$AY$7:$AY$56</c:f>
              <c:numCache>
                <c:formatCode>0</c:formatCode>
                <c:ptCount val="50"/>
                <c:pt idx="0">
                  <c:v>#N/A</c:v>
                </c:pt>
                <c:pt idx="1">
                  <c:v>16.336281798666924</c:v>
                </c:pt>
                <c:pt idx="2">
                  <c:v>22.870794518133692</c:v>
                </c:pt>
                <c:pt idx="3">
                  <c:v>32.672563597333848</c:v>
                </c:pt>
                <c:pt idx="4">
                  <c:v>39.207076316800617</c:v>
                </c:pt>
                <c:pt idx="5">
                  <c:v>52.27610175573416</c:v>
                </c:pt>
                <c:pt idx="6">
                  <c:v>65.345127194667697</c:v>
                </c:pt>
                <c:pt idx="7">
                  <c:v>88.215921712801389</c:v>
                </c:pt>
                <c:pt idx="8">
                  <c:v>117.62122895040186</c:v>
                </c:pt>
                <c:pt idx="9">
                  <c:v>147.02653618800232</c:v>
                </c:pt>
                <c:pt idx="10">
                  <c:v>169.89733070613602</c:v>
                </c:pt>
                <c:pt idx="11">
                  <c:v>192.76812522426971</c:v>
                </c:pt>
                <c:pt idx="12">
                  <c:v>222.17343246187016</c:v>
                </c:pt>
                <c:pt idx="13">
                  <c:v>267.91502149813755</c:v>
                </c:pt>
                <c:pt idx="14">
                  <c:v>320.19112325387169</c:v>
                </c:pt>
                <c:pt idx="15">
                  <c:v>369.19996864987246</c:v>
                </c:pt>
                <c:pt idx="16">
                  <c:v>411.67430132640646</c:v>
                </c:pt>
                <c:pt idx="17">
                  <c:v>457.41589036267385</c:v>
                </c:pt>
                <c:pt idx="18">
                  <c:v>509.691992118408</c:v>
                </c:pt>
                <c:pt idx="19">
                  <c:v>578.3043756728091</c:v>
                </c:pt>
                <c:pt idx="20">
                  <c:v>669.78755374534387</c:v>
                </c:pt>
                <c:pt idx="21">
                  <c:v>751.46896273867856</c:v>
                </c:pt>
                <c:pt idx="22">
                  <c:v>849.48665353068009</c:v>
                </c:pt>
                <c:pt idx="23">
                  <c:v>970.37513884081534</c:v>
                </c:pt>
                <c:pt idx="24">
                  <c:v>970.37513884081534</c:v>
                </c:pt>
                <c:pt idx="25">
                  <c:v>970.37513884081534</c:v>
                </c:pt>
                <c:pt idx="26">
                  <c:v>970.37513884081534</c:v>
                </c:pt>
                <c:pt idx="27">
                  <c:v>970.37513884081534</c:v>
                </c:pt>
                <c:pt idx="28">
                  <c:v>970.37513884081534</c:v>
                </c:pt>
                <c:pt idx="29">
                  <c:v>970.37513884081534</c:v>
                </c:pt>
                <c:pt idx="30">
                  <c:v>970.37513884081534</c:v>
                </c:pt>
                <c:pt idx="31">
                  <c:v>970.37513884081534</c:v>
                </c:pt>
                <c:pt idx="32">
                  <c:v>970.37513884081534</c:v>
                </c:pt>
                <c:pt idx="33">
                  <c:v>970.37513884081534</c:v>
                </c:pt>
                <c:pt idx="34">
                  <c:v>970.37513884081534</c:v>
                </c:pt>
                <c:pt idx="35">
                  <c:v>970.37513884081534</c:v>
                </c:pt>
                <c:pt idx="36">
                  <c:v>970.37513884081534</c:v>
                </c:pt>
                <c:pt idx="37">
                  <c:v>970.37513884081534</c:v>
                </c:pt>
                <c:pt idx="38">
                  <c:v>970.37513884081534</c:v>
                </c:pt>
                <c:pt idx="39">
                  <c:v>970.37513884081534</c:v>
                </c:pt>
                <c:pt idx="40">
                  <c:v>970.37513884081534</c:v>
                </c:pt>
                <c:pt idx="41">
                  <c:v>970.37513884081534</c:v>
                </c:pt>
                <c:pt idx="42">
                  <c:v>970.37513884081534</c:v>
                </c:pt>
                <c:pt idx="43">
                  <c:v>970.37513884081534</c:v>
                </c:pt>
                <c:pt idx="44">
                  <c:v>970.37513884081534</c:v>
                </c:pt>
                <c:pt idx="45">
                  <c:v>970.37513884081534</c:v>
                </c:pt>
                <c:pt idx="46">
                  <c:v>970.37513884081534</c:v>
                </c:pt>
                <c:pt idx="47">
                  <c:v>970.37513884081534</c:v>
                </c:pt>
                <c:pt idx="48">
                  <c:v>970.37513884081534</c:v>
                </c:pt>
                <c:pt idx="49">
                  <c:v>970.37513884081534</c:v>
                </c:pt>
              </c:numCache>
            </c:numRef>
          </c:xVal>
          <c:yVal>
            <c:numRef>
              <c:f>CALCULO!$E$7:$E$56</c:f>
              <c:numCache>
                <c:formatCode>General</c:formatCode>
                <c:ptCount val="5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0-5B0E-4612-8B43-4D79EDD2661A}"/>
            </c:ext>
          </c:extLst>
        </c:ser>
        <c:ser>
          <c:idx val="9"/>
          <c:order val="1"/>
          <c:marker>
            <c:symbol val="none"/>
          </c:marker>
          <c:xVal>
            <c:numRef>
              <c:f>CAPA!$M$2:$M$3</c:f>
            </c:numRef>
          </c:xVal>
          <c:yVal>
            <c:numRef>
              <c:f>CAPA!$K$2:$K$3</c:f>
            </c:numRef>
          </c:yVal>
          <c:smooth val="0"/>
          <c:extLst>
            <c:ext xmlns:c16="http://schemas.microsoft.com/office/drawing/2014/chart" uri="{C3380CC4-5D6E-409C-BE32-E72D297353CC}">
              <c16:uniqueId val="{00000011-5B0E-4612-8B43-4D79EDD2661A}"/>
            </c:ext>
          </c:extLst>
        </c:ser>
        <c:ser>
          <c:idx val="10"/>
          <c:order val="2"/>
          <c:marker>
            <c:symbol val="none"/>
          </c:marker>
          <c:xVal>
            <c:numRef>
              <c:f>CAPA!$I$2:$I$3</c:f>
            </c:numRef>
          </c:xVal>
          <c:yVal>
            <c:numRef>
              <c:f>CAPA!$H$2:$H$3</c:f>
            </c:numRef>
          </c:yVal>
          <c:smooth val="0"/>
          <c:extLst>
            <c:ext xmlns:c16="http://schemas.microsoft.com/office/drawing/2014/chart" uri="{C3380CC4-5D6E-409C-BE32-E72D297353CC}">
              <c16:uniqueId val="{00000012-5B0E-4612-8B43-4D79EDD2661A}"/>
            </c:ext>
          </c:extLst>
        </c:ser>
        <c:ser>
          <c:idx val="11"/>
          <c:order val="3"/>
          <c:marker>
            <c:symbol val="none"/>
          </c:marker>
          <c:xVal>
            <c:numRef>
              <c:f>CAPA!$O$2:$P$2</c:f>
            </c:numRef>
          </c:xVal>
          <c:yVal>
            <c:numRef>
              <c:f>CAPA!$O$3:$P$3</c:f>
            </c:numRef>
          </c:yVal>
          <c:smooth val="0"/>
          <c:extLst>
            <c:ext xmlns:c16="http://schemas.microsoft.com/office/drawing/2014/chart" uri="{C3380CC4-5D6E-409C-BE32-E72D297353CC}">
              <c16:uniqueId val="{00000013-5B0E-4612-8B43-4D79EDD2661A}"/>
            </c:ext>
          </c:extLst>
        </c:ser>
        <c:ser>
          <c:idx val="12"/>
          <c:order val="4"/>
          <c:marker>
            <c:symbol val="none"/>
          </c:marker>
          <c:xVal>
            <c:numRef>
              <c:f>CAPA!$R$2:$S$2</c:f>
            </c:numRef>
          </c:xVal>
          <c:yVal>
            <c:numRef>
              <c:f>CAPA!$R$3:$S$3</c:f>
            </c:numRef>
          </c:yVal>
          <c:smooth val="0"/>
          <c:extLst>
            <c:ext xmlns:c16="http://schemas.microsoft.com/office/drawing/2014/chart" uri="{C3380CC4-5D6E-409C-BE32-E72D297353CC}">
              <c16:uniqueId val="{00000014-5B0E-4612-8B43-4D79EDD2661A}"/>
            </c:ext>
          </c:extLst>
        </c:ser>
        <c:ser>
          <c:idx val="13"/>
          <c:order val="5"/>
          <c:tx>
            <c:v>Ponta</c:v>
          </c:tx>
          <c:spPr>
            <a:ln w="25400">
              <a:solidFill>
                <a:schemeClr val="bg1">
                  <a:lumMod val="65000"/>
                </a:schemeClr>
              </a:solidFill>
              <a:prstDash val="sysDot"/>
            </a:ln>
          </c:spPr>
          <c:marker>
            <c:symbol val="none"/>
          </c:marker>
          <c:xVal>
            <c:numRef>
              <c:f>CALCULO!$AZ$7:$AZ$56</c:f>
              <c:numCache>
                <c:formatCode>#,##0.00</c:formatCode>
                <c:ptCount val="50"/>
                <c:pt idx="0">
                  <c:v>#N/A</c:v>
                </c:pt>
                <c:pt idx="1">
                  <c:v>70.082648916281101</c:v>
                </c:pt>
                <c:pt idx="2">
                  <c:v>36.511589820020582</c:v>
                </c:pt>
                <c:pt idx="3">
                  <c:v>44.107960856400702</c:v>
                </c:pt>
                <c:pt idx="4">
                  <c:v>38.716987862840618</c:v>
                </c:pt>
                <c:pt idx="5">
                  <c:v>62.731322106880995</c:v>
                </c:pt>
                <c:pt idx="6">
                  <c:v>73.268223867021177</c:v>
                </c:pt>
                <c:pt idx="7">
                  <c:v>116.39600781550186</c:v>
                </c:pt>
                <c:pt idx="8">
                  <c:v>142.37069587538227</c:v>
                </c:pt>
                <c:pt idx="9">
                  <c:v>136.97972288182217</c:v>
                </c:pt>
                <c:pt idx="10">
                  <c:v>112.4753001838218</c:v>
                </c:pt>
                <c:pt idx="11">
                  <c:v>117.86627317738188</c:v>
                </c:pt>
                <c:pt idx="12">
                  <c:v>158.29857062908252</c:v>
                </c:pt>
                <c:pt idx="13">
                  <c:v>226.9109541834836</c:v>
                </c:pt>
                <c:pt idx="14">
                  <c:v>250.68024420054402</c:v>
                </c:pt>
                <c:pt idx="15">
                  <c:v>233.03705985798373</c:v>
                </c:pt>
                <c:pt idx="16">
                  <c:v>211.22812365676336</c:v>
                </c:pt>
                <c:pt idx="17">
                  <c:v>228.87130799932362</c:v>
                </c:pt>
                <c:pt idx="18">
                  <c:v>269.79369390498431</c:v>
                </c:pt>
                <c:pt idx="19">
                  <c:v>354.33395221308564</c:v>
                </c:pt>
                <c:pt idx="20">
                  <c:v>432.99314907366693</c:v>
                </c:pt>
                <c:pt idx="21">
                  <c:v>415.59500895808662</c:v>
                </c:pt>
                <c:pt idx="22">
                  <c:v>497.68482499638793</c:v>
                </c:pt>
                <c:pt idx="23">
                  <c:v>468.03447353180746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</c:numCache>
            </c:numRef>
          </c:xVal>
          <c:yVal>
            <c:numRef>
              <c:f>CALCULO!$E$7:$E$56</c:f>
              <c:numCache>
                <c:formatCode>General</c:formatCode>
                <c:ptCount val="5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5-5B0E-4612-8B43-4D79EDD2661A}"/>
            </c:ext>
          </c:extLst>
        </c:ser>
        <c:ser>
          <c:idx val="14"/>
          <c:order val="6"/>
          <c:tx>
            <c:v>Total</c:v>
          </c:tx>
          <c:spPr>
            <a:ln>
              <a:solidFill>
                <a:schemeClr val="bg1">
                  <a:lumMod val="65000"/>
                </a:schemeClr>
              </a:solidFill>
            </a:ln>
          </c:spPr>
          <c:marker>
            <c:symbol val="none"/>
          </c:marker>
          <c:xVal>
            <c:numRef>
              <c:f>CALCULO!$BA$7:$BA$56</c:f>
              <c:numCache>
                <c:formatCode>#\ ##0.0</c:formatCode>
                <c:ptCount val="50"/>
                <c:pt idx="0">
                  <c:v>#N/A</c:v>
                </c:pt>
                <c:pt idx="1">
                  <c:v>86.418930714948033</c:v>
                </c:pt>
                <c:pt idx="2">
                  <c:v>59.382384338154274</c:v>
                </c:pt>
                <c:pt idx="3">
                  <c:v>76.780524453734557</c:v>
                </c:pt>
                <c:pt idx="4">
                  <c:v>77.924064179641235</c:v>
                </c:pt>
                <c:pt idx="5">
                  <c:v>115.00742386261516</c:v>
                </c:pt>
                <c:pt idx="6">
                  <c:v>138.61335106168889</c:v>
                </c:pt>
                <c:pt idx="7">
                  <c:v>204.61192952830325</c:v>
                </c:pt>
                <c:pt idx="8">
                  <c:v>259.99192482578411</c:v>
                </c:pt>
                <c:pt idx="9">
                  <c:v>284.00625906982452</c:v>
                </c:pt>
                <c:pt idx="10">
                  <c:v>282.3726308899578</c:v>
                </c:pt>
                <c:pt idx="11">
                  <c:v>310.63439840165159</c:v>
                </c:pt>
                <c:pt idx="12">
                  <c:v>380.47200309095268</c:v>
                </c:pt>
                <c:pt idx="13">
                  <c:v>494.82597568162112</c:v>
                </c:pt>
                <c:pt idx="14">
                  <c:v>570.87136745441569</c:v>
                </c:pt>
                <c:pt idx="15">
                  <c:v>602.23702850785617</c:v>
                </c:pt>
                <c:pt idx="16">
                  <c:v>622.90242498316979</c:v>
                </c:pt>
                <c:pt idx="17">
                  <c:v>686.28719836199753</c:v>
                </c:pt>
                <c:pt idx="18">
                  <c:v>779.4856860233923</c:v>
                </c:pt>
                <c:pt idx="19">
                  <c:v>932.6383278858948</c:v>
                </c:pt>
                <c:pt idx="20">
                  <c:v>1102.7807028190109</c:v>
                </c:pt>
                <c:pt idx="21">
                  <c:v>1167.0639716967653</c:v>
                </c:pt>
                <c:pt idx="22">
                  <c:v>1347.1714785270681</c:v>
                </c:pt>
                <c:pt idx="23">
                  <c:v>1438.4096123726229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</c:numCache>
            </c:numRef>
          </c:xVal>
          <c:yVal>
            <c:numRef>
              <c:f>CALCULO!$E$7:$E$56</c:f>
              <c:numCache>
                <c:formatCode>General</c:formatCode>
                <c:ptCount val="5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6-5B0E-4612-8B43-4D79EDD2661A}"/>
            </c:ext>
          </c:extLst>
        </c:ser>
        <c:ser>
          <c:idx val="15"/>
          <c:order val="7"/>
          <c:tx>
            <c:v>Radm</c:v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CALCULO!$BB$7:$BB$56</c:f>
              <c:numCache>
                <c:formatCode>#\ ##0.0</c:formatCode>
                <c:ptCount val="50"/>
                <c:pt idx="0">
                  <c:v>#N/A</c:v>
                </c:pt>
                <c:pt idx="1">
                  <c:v>43.209465357474016</c:v>
                </c:pt>
                <c:pt idx="2">
                  <c:v>29.691192169077137</c:v>
                </c:pt>
                <c:pt idx="3">
                  <c:v>38.390262226867279</c:v>
                </c:pt>
                <c:pt idx="4">
                  <c:v>38.962032089820617</c:v>
                </c:pt>
                <c:pt idx="5">
                  <c:v>57.503711931307578</c:v>
                </c:pt>
                <c:pt idx="6">
                  <c:v>69.306675530844444</c:v>
                </c:pt>
                <c:pt idx="7">
                  <c:v>102.30596476415162</c:v>
                </c:pt>
                <c:pt idx="8">
                  <c:v>129.99596241289206</c:v>
                </c:pt>
                <c:pt idx="9">
                  <c:v>142.00312953491226</c:v>
                </c:pt>
                <c:pt idx="10">
                  <c:v>141.1863154449789</c:v>
                </c:pt>
                <c:pt idx="11">
                  <c:v>155.3171992008258</c:v>
                </c:pt>
                <c:pt idx="12">
                  <c:v>190.23600154547634</c:v>
                </c:pt>
                <c:pt idx="13">
                  <c:v>247.41298784081056</c:v>
                </c:pt>
                <c:pt idx="14">
                  <c:v>285.43568372720785</c:v>
                </c:pt>
                <c:pt idx="15">
                  <c:v>301.11851425392808</c:v>
                </c:pt>
                <c:pt idx="16">
                  <c:v>311.4512124915849</c:v>
                </c:pt>
                <c:pt idx="17">
                  <c:v>343.14359918099876</c:v>
                </c:pt>
                <c:pt idx="18">
                  <c:v>389.74284301169615</c:v>
                </c:pt>
                <c:pt idx="19">
                  <c:v>466.3191639429474</c:v>
                </c:pt>
                <c:pt idx="20">
                  <c:v>551.39035140950546</c:v>
                </c:pt>
                <c:pt idx="21">
                  <c:v>583.53198584838265</c:v>
                </c:pt>
                <c:pt idx="22">
                  <c:v>673.58573926353404</c:v>
                </c:pt>
                <c:pt idx="23">
                  <c:v>719.20480618631143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</c:numCache>
            </c:numRef>
          </c:xVal>
          <c:yVal>
            <c:numRef>
              <c:f>CALCULO!$E$7:$E$56</c:f>
              <c:numCache>
                <c:formatCode>General</c:formatCode>
                <c:ptCount val="5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7-5B0E-4612-8B43-4D79EDD2661A}"/>
            </c:ext>
          </c:extLst>
        </c:ser>
        <c:ser>
          <c:idx val="0"/>
          <c:order val="8"/>
          <c:tx>
            <c:v>Lateral</c:v>
          </c:tx>
          <c:spPr>
            <a:ln w="25400" cap="rnd">
              <a:solidFill>
                <a:schemeClr val="bg1">
                  <a:lumMod val="65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xVal>
            <c:numRef>
              <c:f>CALCULO!$AY$7:$AY$56</c:f>
              <c:numCache>
                <c:formatCode>0</c:formatCode>
                <c:ptCount val="50"/>
                <c:pt idx="0">
                  <c:v>#N/A</c:v>
                </c:pt>
                <c:pt idx="1">
                  <c:v>16.336281798666924</c:v>
                </c:pt>
                <c:pt idx="2">
                  <c:v>22.870794518133692</c:v>
                </c:pt>
                <c:pt idx="3">
                  <c:v>32.672563597333848</c:v>
                </c:pt>
                <c:pt idx="4">
                  <c:v>39.207076316800617</c:v>
                </c:pt>
                <c:pt idx="5">
                  <c:v>52.27610175573416</c:v>
                </c:pt>
                <c:pt idx="6">
                  <c:v>65.345127194667697</c:v>
                </c:pt>
                <c:pt idx="7">
                  <c:v>88.215921712801389</c:v>
                </c:pt>
                <c:pt idx="8">
                  <c:v>117.62122895040186</c:v>
                </c:pt>
                <c:pt idx="9">
                  <c:v>147.02653618800232</c:v>
                </c:pt>
                <c:pt idx="10">
                  <c:v>169.89733070613602</c:v>
                </c:pt>
                <c:pt idx="11">
                  <c:v>192.76812522426971</c:v>
                </c:pt>
                <c:pt idx="12">
                  <c:v>222.17343246187016</c:v>
                </c:pt>
                <c:pt idx="13">
                  <c:v>267.91502149813755</c:v>
                </c:pt>
                <c:pt idx="14">
                  <c:v>320.19112325387169</c:v>
                </c:pt>
                <c:pt idx="15">
                  <c:v>369.19996864987246</c:v>
                </c:pt>
                <c:pt idx="16">
                  <c:v>411.67430132640646</c:v>
                </c:pt>
                <c:pt idx="17">
                  <c:v>457.41589036267385</c:v>
                </c:pt>
                <c:pt idx="18">
                  <c:v>509.691992118408</c:v>
                </c:pt>
                <c:pt idx="19">
                  <c:v>578.3043756728091</c:v>
                </c:pt>
                <c:pt idx="20">
                  <c:v>669.78755374534387</c:v>
                </c:pt>
                <c:pt idx="21">
                  <c:v>751.46896273867856</c:v>
                </c:pt>
                <c:pt idx="22">
                  <c:v>849.48665353068009</c:v>
                </c:pt>
                <c:pt idx="23">
                  <c:v>970.37513884081534</c:v>
                </c:pt>
                <c:pt idx="24">
                  <c:v>970.37513884081534</c:v>
                </c:pt>
                <c:pt idx="25">
                  <c:v>970.37513884081534</c:v>
                </c:pt>
                <c:pt idx="26">
                  <c:v>970.37513884081534</c:v>
                </c:pt>
                <c:pt idx="27">
                  <c:v>970.37513884081534</c:v>
                </c:pt>
                <c:pt idx="28">
                  <c:v>970.37513884081534</c:v>
                </c:pt>
                <c:pt idx="29">
                  <c:v>970.37513884081534</c:v>
                </c:pt>
                <c:pt idx="30">
                  <c:v>970.37513884081534</c:v>
                </c:pt>
                <c:pt idx="31">
                  <c:v>970.37513884081534</c:v>
                </c:pt>
                <c:pt idx="32">
                  <c:v>970.37513884081534</c:v>
                </c:pt>
                <c:pt idx="33">
                  <c:v>970.37513884081534</c:v>
                </c:pt>
                <c:pt idx="34">
                  <c:v>970.37513884081534</c:v>
                </c:pt>
                <c:pt idx="35">
                  <c:v>970.37513884081534</c:v>
                </c:pt>
                <c:pt idx="36">
                  <c:v>970.37513884081534</c:v>
                </c:pt>
                <c:pt idx="37">
                  <c:v>970.37513884081534</c:v>
                </c:pt>
                <c:pt idx="38">
                  <c:v>970.37513884081534</c:v>
                </c:pt>
                <c:pt idx="39">
                  <c:v>970.37513884081534</c:v>
                </c:pt>
                <c:pt idx="40">
                  <c:v>970.37513884081534</c:v>
                </c:pt>
                <c:pt idx="41">
                  <c:v>970.37513884081534</c:v>
                </c:pt>
                <c:pt idx="42">
                  <c:v>970.37513884081534</c:v>
                </c:pt>
                <c:pt idx="43">
                  <c:v>970.37513884081534</c:v>
                </c:pt>
                <c:pt idx="44">
                  <c:v>970.37513884081534</c:v>
                </c:pt>
                <c:pt idx="45">
                  <c:v>970.37513884081534</c:v>
                </c:pt>
                <c:pt idx="46">
                  <c:v>970.37513884081534</c:v>
                </c:pt>
                <c:pt idx="47">
                  <c:v>970.37513884081534</c:v>
                </c:pt>
                <c:pt idx="48">
                  <c:v>970.37513884081534</c:v>
                </c:pt>
                <c:pt idx="49">
                  <c:v>970.37513884081534</c:v>
                </c:pt>
              </c:numCache>
            </c:numRef>
          </c:xVal>
          <c:yVal>
            <c:numRef>
              <c:f>CALCULO!$E$7:$E$56</c:f>
              <c:numCache>
                <c:formatCode>General</c:formatCode>
                <c:ptCount val="5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5B0E-4612-8B43-4D79EDD2661A}"/>
            </c:ext>
          </c:extLst>
        </c:ser>
        <c:ser>
          <c:idx val="1"/>
          <c:order val="9"/>
          <c:marker>
            <c:symbol val="none"/>
          </c:marker>
          <c:xVal>
            <c:numRef>
              <c:f>CAPA!$M$2:$M$3</c:f>
            </c:numRef>
          </c:xVal>
          <c:yVal>
            <c:numRef>
              <c:f>CAPA!$K$2:$K$3</c:f>
            </c:numRef>
          </c:yVal>
          <c:smooth val="0"/>
          <c:extLst>
            <c:ext xmlns:c16="http://schemas.microsoft.com/office/drawing/2014/chart" uri="{C3380CC4-5D6E-409C-BE32-E72D297353CC}">
              <c16:uniqueId val="{00000003-5B0E-4612-8B43-4D79EDD2661A}"/>
            </c:ext>
          </c:extLst>
        </c:ser>
        <c:ser>
          <c:idx val="2"/>
          <c:order val="10"/>
          <c:marker>
            <c:symbol val="none"/>
          </c:marker>
          <c:xVal>
            <c:numRef>
              <c:f>CAPA!$I$2:$I$3</c:f>
            </c:numRef>
          </c:xVal>
          <c:yVal>
            <c:numRef>
              <c:f>CAPA!$H$2:$H$3</c:f>
            </c:numRef>
          </c:yVal>
          <c:smooth val="0"/>
          <c:extLst>
            <c:ext xmlns:c16="http://schemas.microsoft.com/office/drawing/2014/chart" uri="{C3380CC4-5D6E-409C-BE32-E72D297353CC}">
              <c16:uniqueId val="{00000005-5B0E-4612-8B43-4D79EDD2661A}"/>
            </c:ext>
          </c:extLst>
        </c:ser>
        <c:ser>
          <c:idx val="3"/>
          <c:order val="11"/>
          <c:marker>
            <c:symbol val="none"/>
          </c:marker>
          <c:xVal>
            <c:numRef>
              <c:f>CAPA!$O$2:$P$2</c:f>
            </c:numRef>
          </c:xVal>
          <c:yVal>
            <c:numRef>
              <c:f>CAPA!$O$3:$P$3</c:f>
            </c:numRef>
          </c:yVal>
          <c:smooth val="0"/>
          <c:extLst>
            <c:ext xmlns:c16="http://schemas.microsoft.com/office/drawing/2014/chart" uri="{C3380CC4-5D6E-409C-BE32-E72D297353CC}">
              <c16:uniqueId val="{00000007-5B0E-4612-8B43-4D79EDD2661A}"/>
            </c:ext>
          </c:extLst>
        </c:ser>
        <c:ser>
          <c:idx val="4"/>
          <c:order val="12"/>
          <c:marker>
            <c:symbol val="none"/>
          </c:marker>
          <c:xVal>
            <c:numRef>
              <c:f>CAPA!$R$2:$S$2</c:f>
            </c:numRef>
          </c:xVal>
          <c:yVal>
            <c:numRef>
              <c:f>CAPA!$R$3:$S$3</c:f>
            </c:numRef>
          </c:yVal>
          <c:smooth val="0"/>
          <c:extLst>
            <c:ext xmlns:c16="http://schemas.microsoft.com/office/drawing/2014/chart" uri="{C3380CC4-5D6E-409C-BE32-E72D297353CC}">
              <c16:uniqueId val="{00000009-5B0E-4612-8B43-4D79EDD2661A}"/>
            </c:ext>
          </c:extLst>
        </c:ser>
        <c:ser>
          <c:idx val="5"/>
          <c:order val="13"/>
          <c:tx>
            <c:v>Ponta</c:v>
          </c:tx>
          <c:spPr>
            <a:ln w="25400" cap="rnd">
              <a:solidFill>
                <a:schemeClr val="bg1">
                  <a:lumMod val="65000"/>
                </a:schemeClr>
              </a:solidFill>
              <a:prstDash val="sysDot"/>
              <a:round/>
            </a:ln>
            <a:effectLst/>
          </c:spPr>
          <c:marker>
            <c:symbol val="none"/>
          </c:marker>
          <c:xVal>
            <c:numRef>
              <c:f>CALCULO!$AZ$7:$AZ$56</c:f>
              <c:numCache>
                <c:formatCode>#,##0.00</c:formatCode>
                <c:ptCount val="50"/>
                <c:pt idx="0">
                  <c:v>#N/A</c:v>
                </c:pt>
                <c:pt idx="1">
                  <c:v>70.082648916281101</c:v>
                </c:pt>
                <c:pt idx="2">
                  <c:v>36.511589820020582</c:v>
                </c:pt>
                <c:pt idx="3">
                  <c:v>44.107960856400702</c:v>
                </c:pt>
                <c:pt idx="4">
                  <c:v>38.716987862840618</c:v>
                </c:pt>
                <c:pt idx="5">
                  <c:v>62.731322106880995</c:v>
                </c:pt>
                <c:pt idx="6">
                  <c:v>73.268223867021177</c:v>
                </c:pt>
                <c:pt idx="7">
                  <c:v>116.39600781550186</c:v>
                </c:pt>
                <c:pt idx="8">
                  <c:v>142.37069587538227</c:v>
                </c:pt>
                <c:pt idx="9">
                  <c:v>136.97972288182217</c:v>
                </c:pt>
                <c:pt idx="10">
                  <c:v>112.4753001838218</c:v>
                </c:pt>
                <c:pt idx="11">
                  <c:v>117.86627317738188</c:v>
                </c:pt>
                <c:pt idx="12">
                  <c:v>158.29857062908252</c:v>
                </c:pt>
                <c:pt idx="13">
                  <c:v>226.9109541834836</c:v>
                </c:pt>
                <c:pt idx="14">
                  <c:v>250.68024420054402</c:v>
                </c:pt>
                <c:pt idx="15">
                  <c:v>233.03705985798373</c:v>
                </c:pt>
                <c:pt idx="16">
                  <c:v>211.22812365676336</c:v>
                </c:pt>
                <c:pt idx="17">
                  <c:v>228.87130799932362</c:v>
                </c:pt>
                <c:pt idx="18">
                  <c:v>269.79369390498431</c:v>
                </c:pt>
                <c:pt idx="19">
                  <c:v>354.33395221308564</c:v>
                </c:pt>
                <c:pt idx="20">
                  <c:v>432.99314907366693</c:v>
                </c:pt>
                <c:pt idx="21">
                  <c:v>415.59500895808662</c:v>
                </c:pt>
                <c:pt idx="22">
                  <c:v>497.68482499638793</c:v>
                </c:pt>
                <c:pt idx="23">
                  <c:v>468.03447353180746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</c:numCache>
            </c:numRef>
          </c:xVal>
          <c:yVal>
            <c:numRef>
              <c:f>CALCULO!$E$7:$E$56</c:f>
              <c:numCache>
                <c:formatCode>General</c:formatCode>
                <c:ptCount val="5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B-5B0E-4612-8B43-4D79EDD2661A}"/>
            </c:ext>
          </c:extLst>
        </c:ser>
        <c:ser>
          <c:idx val="6"/>
          <c:order val="14"/>
          <c:tx>
            <c:v>Total</c:v>
          </c:tx>
          <c:spPr>
            <a:ln w="19050" cap="rnd">
              <a:solidFill>
                <a:schemeClr val="bg1">
                  <a:lumMod val="65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CALCULO!$BA$7:$BA$56</c:f>
              <c:numCache>
                <c:formatCode>#\ ##0.0</c:formatCode>
                <c:ptCount val="50"/>
                <c:pt idx="0">
                  <c:v>#N/A</c:v>
                </c:pt>
                <c:pt idx="1">
                  <c:v>86.418930714948033</c:v>
                </c:pt>
                <c:pt idx="2">
                  <c:v>59.382384338154274</c:v>
                </c:pt>
                <c:pt idx="3">
                  <c:v>76.780524453734557</c:v>
                </c:pt>
                <c:pt idx="4">
                  <c:v>77.924064179641235</c:v>
                </c:pt>
                <c:pt idx="5">
                  <c:v>115.00742386261516</c:v>
                </c:pt>
                <c:pt idx="6">
                  <c:v>138.61335106168889</c:v>
                </c:pt>
                <c:pt idx="7">
                  <c:v>204.61192952830325</c:v>
                </c:pt>
                <c:pt idx="8">
                  <c:v>259.99192482578411</c:v>
                </c:pt>
                <c:pt idx="9">
                  <c:v>284.00625906982452</c:v>
                </c:pt>
                <c:pt idx="10">
                  <c:v>282.3726308899578</c:v>
                </c:pt>
                <c:pt idx="11">
                  <c:v>310.63439840165159</c:v>
                </c:pt>
                <c:pt idx="12">
                  <c:v>380.47200309095268</c:v>
                </c:pt>
                <c:pt idx="13">
                  <c:v>494.82597568162112</c:v>
                </c:pt>
                <c:pt idx="14">
                  <c:v>570.87136745441569</c:v>
                </c:pt>
                <c:pt idx="15">
                  <c:v>602.23702850785617</c:v>
                </c:pt>
                <c:pt idx="16">
                  <c:v>622.90242498316979</c:v>
                </c:pt>
                <c:pt idx="17">
                  <c:v>686.28719836199753</c:v>
                </c:pt>
                <c:pt idx="18">
                  <c:v>779.4856860233923</c:v>
                </c:pt>
                <c:pt idx="19">
                  <c:v>932.6383278858948</c:v>
                </c:pt>
                <c:pt idx="20">
                  <c:v>1102.7807028190109</c:v>
                </c:pt>
                <c:pt idx="21">
                  <c:v>1167.0639716967653</c:v>
                </c:pt>
                <c:pt idx="22">
                  <c:v>1347.1714785270681</c:v>
                </c:pt>
                <c:pt idx="23">
                  <c:v>1438.4096123726229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</c:numCache>
            </c:numRef>
          </c:xVal>
          <c:yVal>
            <c:numRef>
              <c:f>CALCULO!$E$7:$E$56</c:f>
              <c:numCache>
                <c:formatCode>General</c:formatCode>
                <c:ptCount val="5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D-5B0E-4612-8B43-4D79EDD2661A}"/>
            </c:ext>
          </c:extLst>
        </c:ser>
        <c:ser>
          <c:idx val="7"/>
          <c:order val="15"/>
          <c:tx>
            <c:v>Radm</c:v>
          </c:tx>
          <c:spPr>
            <a:ln w="19050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xVal>
            <c:numRef>
              <c:f>CALCULO!$BB$7:$BB$56</c:f>
              <c:numCache>
                <c:formatCode>#\ ##0.0</c:formatCode>
                <c:ptCount val="50"/>
                <c:pt idx="0">
                  <c:v>#N/A</c:v>
                </c:pt>
                <c:pt idx="1">
                  <c:v>43.209465357474016</c:v>
                </c:pt>
                <c:pt idx="2">
                  <c:v>29.691192169077137</c:v>
                </c:pt>
                <c:pt idx="3">
                  <c:v>38.390262226867279</c:v>
                </c:pt>
                <c:pt idx="4">
                  <c:v>38.962032089820617</c:v>
                </c:pt>
                <c:pt idx="5">
                  <c:v>57.503711931307578</c:v>
                </c:pt>
                <c:pt idx="6">
                  <c:v>69.306675530844444</c:v>
                </c:pt>
                <c:pt idx="7">
                  <c:v>102.30596476415162</c:v>
                </c:pt>
                <c:pt idx="8">
                  <c:v>129.99596241289206</c:v>
                </c:pt>
                <c:pt idx="9">
                  <c:v>142.00312953491226</c:v>
                </c:pt>
                <c:pt idx="10">
                  <c:v>141.1863154449789</c:v>
                </c:pt>
                <c:pt idx="11">
                  <c:v>155.3171992008258</c:v>
                </c:pt>
                <c:pt idx="12">
                  <c:v>190.23600154547634</c:v>
                </c:pt>
                <c:pt idx="13">
                  <c:v>247.41298784081056</c:v>
                </c:pt>
                <c:pt idx="14">
                  <c:v>285.43568372720785</c:v>
                </c:pt>
                <c:pt idx="15">
                  <c:v>301.11851425392808</c:v>
                </c:pt>
                <c:pt idx="16">
                  <c:v>311.4512124915849</c:v>
                </c:pt>
                <c:pt idx="17">
                  <c:v>343.14359918099876</c:v>
                </c:pt>
                <c:pt idx="18">
                  <c:v>389.74284301169615</c:v>
                </c:pt>
                <c:pt idx="19">
                  <c:v>466.3191639429474</c:v>
                </c:pt>
                <c:pt idx="20">
                  <c:v>551.39035140950546</c:v>
                </c:pt>
                <c:pt idx="21">
                  <c:v>583.53198584838265</c:v>
                </c:pt>
                <c:pt idx="22">
                  <c:v>673.58573926353404</c:v>
                </c:pt>
                <c:pt idx="23">
                  <c:v>719.20480618631143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</c:numCache>
            </c:numRef>
          </c:xVal>
          <c:yVal>
            <c:numRef>
              <c:f>CALCULO!$E$7:$E$56</c:f>
              <c:numCache>
                <c:formatCode>General</c:formatCode>
                <c:ptCount val="5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F-5B0E-4612-8B43-4D79EDD266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10981616"/>
        <c:axId val="310978480"/>
      </c:scatterChart>
      <c:valAx>
        <c:axId val="310981616"/>
        <c:scaling>
          <c:orientation val="minMax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310978480"/>
        <c:crosses val="autoZero"/>
        <c:crossBetween val="midCat"/>
      </c:valAx>
      <c:valAx>
        <c:axId val="310978480"/>
        <c:scaling>
          <c:orientation val="maxMin"/>
          <c:max val="5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400"/>
                  <a:t>Profundidade (m)</a:t>
                </a:r>
              </a:p>
            </c:rich>
          </c:tx>
          <c:layout>
            <c:manualLayout>
              <c:xMode val="edge"/>
              <c:yMode val="edge"/>
              <c:x val="1.5219059565937741E-3"/>
              <c:y val="0.45280455212824167"/>
            </c:manualLayout>
          </c:layout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310981616"/>
        <c:crosses val="autoZero"/>
        <c:crossBetween val="midCat"/>
        <c:majorUnit val="2"/>
        <c:minorUnit val="1"/>
      </c:valAx>
    </c:plotArea>
    <c:legend>
      <c:legendPos val="r"/>
      <c:layout>
        <c:manualLayout>
          <c:xMode val="edge"/>
          <c:yMode val="edge"/>
          <c:x val="0.56550114985980116"/>
          <c:y val="0.12220676158289778"/>
          <c:w val="0.31630163365463415"/>
          <c:h val="9.511217432031639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600"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92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920" b="1"/>
              <a:t>Capacidade</a:t>
            </a:r>
            <a:r>
              <a:rPr lang="en-US" sz="1920" b="1" baseline="0"/>
              <a:t> de carga</a:t>
            </a:r>
            <a:endParaRPr lang="en-US" sz="1400" b="1" baseline="0"/>
          </a:p>
          <a:p>
            <a:pPr>
              <a:defRPr sz="192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400" b="1" baseline="0"/>
              <a:t>Média dos Métodos (1996)</a:t>
            </a:r>
            <a:endParaRPr lang="en-US" sz="1920" b="1" baseline="0"/>
          </a:p>
        </c:rich>
      </c:tx>
      <c:layout>
        <c:manualLayout>
          <c:xMode val="edge"/>
          <c:yMode val="edge"/>
          <c:x val="0.15201273840432186"/>
          <c:y val="2.6846289972507404E-3"/>
        </c:manualLayout>
      </c:layout>
      <c:overlay val="0"/>
      <c:spPr>
        <a:noFill/>
        <a:ln>
          <a:noFill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0.20707277937455384"/>
          <c:y val="0.11354940862283319"/>
          <c:w val="0.70814849543576996"/>
          <c:h val="0.8602402551928543"/>
        </c:manualLayout>
      </c:layout>
      <c:scatterChart>
        <c:scatterStyle val="lineMarker"/>
        <c:varyColors val="0"/>
        <c:ser>
          <c:idx val="9"/>
          <c:order val="1"/>
          <c:marker>
            <c:symbol val="none"/>
          </c:marker>
          <c:xVal>
            <c:numRef>
              <c:f>CAPA!$M$2:$M$3</c:f>
            </c:numRef>
          </c:xVal>
          <c:yVal>
            <c:numRef>
              <c:f>CAPA!$K$2:$K$3</c:f>
            </c:numRef>
          </c:yVal>
          <c:smooth val="0"/>
          <c:extLst>
            <c:ext xmlns:c16="http://schemas.microsoft.com/office/drawing/2014/chart" uri="{C3380CC4-5D6E-409C-BE32-E72D297353CC}">
              <c16:uniqueId val="{00000001-922F-4C98-AD65-DBDB22B01B07}"/>
            </c:ext>
          </c:extLst>
        </c:ser>
        <c:ser>
          <c:idx val="10"/>
          <c:order val="2"/>
          <c:marker>
            <c:symbol val="none"/>
          </c:marker>
          <c:xVal>
            <c:numRef>
              <c:f>CAPA!$I$2:$I$3</c:f>
            </c:numRef>
          </c:xVal>
          <c:yVal>
            <c:numRef>
              <c:f>CAPA!$H$2:$H$3</c:f>
            </c:numRef>
          </c:yVal>
          <c:smooth val="0"/>
          <c:extLst>
            <c:ext xmlns:c16="http://schemas.microsoft.com/office/drawing/2014/chart" uri="{C3380CC4-5D6E-409C-BE32-E72D297353CC}">
              <c16:uniqueId val="{00000002-922F-4C98-AD65-DBDB22B01B07}"/>
            </c:ext>
          </c:extLst>
        </c:ser>
        <c:ser>
          <c:idx val="11"/>
          <c:order val="3"/>
          <c:marker>
            <c:symbol val="none"/>
          </c:marker>
          <c:xVal>
            <c:numRef>
              <c:f>CAPA!$O$2:$P$2</c:f>
            </c:numRef>
          </c:xVal>
          <c:yVal>
            <c:numRef>
              <c:f>CAPA!$O$3:$P$3</c:f>
            </c:numRef>
          </c:yVal>
          <c:smooth val="0"/>
          <c:extLst>
            <c:ext xmlns:c16="http://schemas.microsoft.com/office/drawing/2014/chart" uri="{C3380CC4-5D6E-409C-BE32-E72D297353CC}">
              <c16:uniqueId val="{00000003-922F-4C98-AD65-DBDB22B01B07}"/>
            </c:ext>
          </c:extLst>
        </c:ser>
        <c:ser>
          <c:idx val="12"/>
          <c:order val="4"/>
          <c:marker>
            <c:symbol val="none"/>
          </c:marker>
          <c:xVal>
            <c:numRef>
              <c:f>CAPA!$R$2:$S$2</c:f>
            </c:numRef>
          </c:xVal>
          <c:yVal>
            <c:numRef>
              <c:f>CAPA!$R$3:$S$3</c:f>
            </c:numRef>
          </c:yVal>
          <c:smooth val="0"/>
          <c:extLst>
            <c:ext xmlns:c16="http://schemas.microsoft.com/office/drawing/2014/chart" uri="{C3380CC4-5D6E-409C-BE32-E72D297353CC}">
              <c16:uniqueId val="{00000004-922F-4C98-AD65-DBDB22B01B07}"/>
            </c:ext>
          </c:extLst>
        </c:ser>
        <c:ser>
          <c:idx val="0"/>
          <c:order val="8"/>
          <c:tx>
            <c:v>Lateral</c:v>
          </c:tx>
          <c:spPr>
            <a:ln w="25400" cap="rnd">
              <a:solidFill>
                <a:schemeClr val="bg1">
                  <a:lumMod val="65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xVal>
            <c:numRef>
              <c:f>CALCULO!$BE$7:$BE$56</c:f>
              <c:numCache>
                <c:formatCode>0</c:formatCode>
                <c:ptCount val="50"/>
                <c:pt idx="0">
                  <c:v>#N/A</c:v>
                </c:pt>
                <c:pt idx="1">
                  <c:v>21.91818593872939</c:v>
                </c:pt>
                <c:pt idx="2">
                  <c:v>32.319088494087843</c:v>
                </c:pt>
                <c:pt idx="3">
                  <c:v>46.559085510569936</c:v>
                </c:pt>
                <c:pt idx="4">
                  <c:v>56.959988065928393</c:v>
                </c:pt>
                <c:pt idx="5">
                  <c:v>75.039079543534115</c:v>
                </c:pt>
                <c:pt idx="6">
                  <c:v>93.118171021139858</c:v>
                </c:pt>
                <c:pt idx="7">
                  <c:v>122.71454588211655</c:v>
                </c:pt>
                <c:pt idx="8">
                  <c:v>159.98910966534052</c:v>
                </c:pt>
                <c:pt idx="9">
                  <c:v>197.26367344856453</c:v>
                </c:pt>
                <c:pt idx="10">
                  <c:v>226.86004830954121</c:v>
                </c:pt>
                <c:pt idx="11">
                  <c:v>256.45642317051789</c:v>
                </c:pt>
                <c:pt idx="12">
                  <c:v>293.73098695374188</c:v>
                </c:pt>
                <c:pt idx="13">
                  <c:v>350.20102304258415</c:v>
                </c:pt>
                <c:pt idx="14">
                  <c:v>414.34924805367359</c:v>
                </c:pt>
                <c:pt idx="15">
                  <c:v>474.65837860363945</c:v>
                </c:pt>
                <c:pt idx="16">
                  <c:v>527.28932023135803</c:v>
                </c:pt>
                <c:pt idx="17">
                  <c:v>583.75935632020025</c:v>
                </c:pt>
                <c:pt idx="18">
                  <c:v>647.90758133128975</c:v>
                </c:pt>
                <c:pt idx="19">
                  <c:v>731.25127864799742</c:v>
                </c:pt>
                <c:pt idx="20">
                  <c:v>841.4686371925709</c:v>
                </c:pt>
                <c:pt idx="21">
                  <c:v>940.16871235377312</c:v>
                </c:pt>
                <c:pt idx="22">
                  <c:v>1058.0642598205939</c:v>
                </c:pt>
                <c:pt idx="23">
                  <c:v>1202.8334685152799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</c:numCache>
            </c:numRef>
          </c:xVal>
          <c:yVal>
            <c:numRef>
              <c:f>CALCULO!$E$7:$E$56</c:f>
              <c:numCache>
                <c:formatCode>General</c:formatCode>
                <c:ptCount val="5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8-922F-4C98-AD65-DBDB22B01B07}"/>
            </c:ext>
          </c:extLst>
        </c:ser>
        <c:ser>
          <c:idx val="1"/>
          <c:order val="9"/>
          <c:marker>
            <c:symbol val="none"/>
          </c:marker>
          <c:xVal>
            <c:numRef>
              <c:f>CAPA!$M$2:$M$3</c:f>
            </c:numRef>
          </c:xVal>
          <c:yVal>
            <c:numRef>
              <c:f>CAPA!$K$2:$K$3</c:f>
            </c:numRef>
          </c:yVal>
          <c:smooth val="0"/>
          <c:extLst>
            <c:ext xmlns:c16="http://schemas.microsoft.com/office/drawing/2014/chart" uri="{C3380CC4-5D6E-409C-BE32-E72D297353CC}">
              <c16:uniqueId val="{00000009-922F-4C98-AD65-DBDB22B01B07}"/>
            </c:ext>
          </c:extLst>
        </c:ser>
        <c:ser>
          <c:idx val="2"/>
          <c:order val="10"/>
          <c:marker>
            <c:symbol val="none"/>
          </c:marker>
          <c:xVal>
            <c:numRef>
              <c:f>CAPA!$I$2:$I$3</c:f>
            </c:numRef>
          </c:xVal>
          <c:yVal>
            <c:numRef>
              <c:f>CAPA!$H$2:$H$3</c:f>
            </c:numRef>
          </c:yVal>
          <c:smooth val="0"/>
          <c:extLst>
            <c:ext xmlns:c16="http://schemas.microsoft.com/office/drawing/2014/chart" uri="{C3380CC4-5D6E-409C-BE32-E72D297353CC}">
              <c16:uniqueId val="{0000000A-922F-4C98-AD65-DBDB22B01B07}"/>
            </c:ext>
          </c:extLst>
        </c:ser>
        <c:ser>
          <c:idx val="3"/>
          <c:order val="11"/>
          <c:marker>
            <c:symbol val="none"/>
          </c:marker>
          <c:xVal>
            <c:numRef>
              <c:f>CAPA!$O$2:$P$2</c:f>
            </c:numRef>
          </c:xVal>
          <c:yVal>
            <c:numRef>
              <c:f>CAPA!$O$3:$P$3</c:f>
            </c:numRef>
          </c:yVal>
          <c:smooth val="0"/>
          <c:extLst>
            <c:ext xmlns:c16="http://schemas.microsoft.com/office/drawing/2014/chart" uri="{C3380CC4-5D6E-409C-BE32-E72D297353CC}">
              <c16:uniqueId val="{0000000B-922F-4C98-AD65-DBDB22B01B07}"/>
            </c:ext>
          </c:extLst>
        </c:ser>
        <c:ser>
          <c:idx val="4"/>
          <c:order val="12"/>
          <c:marker>
            <c:symbol val="none"/>
          </c:marker>
          <c:xVal>
            <c:numRef>
              <c:f>CAPA!$R$2:$S$2</c:f>
            </c:numRef>
          </c:xVal>
          <c:yVal>
            <c:numRef>
              <c:f>CAPA!$R$3:$S$3</c:f>
            </c:numRef>
          </c:yVal>
          <c:smooth val="0"/>
          <c:extLst>
            <c:ext xmlns:c16="http://schemas.microsoft.com/office/drawing/2014/chart" uri="{C3380CC4-5D6E-409C-BE32-E72D297353CC}">
              <c16:uniqueId val="{0000000C-922F-4C98-AD65-DBDB22B01B07}"/>
            </c:ext>
          </c:extLst>
        </c:ser>
        <c:ser>
          <c:idx val="5"/>
          <c:order val="13"/>
          <c:tx>
            <c:v>Ponta</c:v>
          </c:tx>
          <c:spPr>
            <a:ln w="25400" cap="rnd">
              <a:solidFill>
                <a:schemeClr val="bg1">
                  <a:lumMod val="65000"/>
                </a:schemeClr>
              </a:solidFill>
              <a:prstDash val="sysDot"/>
              <a:round/>
            </a:ln>
            <a:effectLst/>
          </c:spPr>
          <c:marker>
            <c:symbol val="none"/>
          </c:marker>
          <c:xVal>
            <c:numRef>
              <c:f>CALCULO!$BF$7:$BF$56</c:f>
              <c:numCache>
                <c:formatCode>#,##0</c:formatCode>
                <c:ptCount val="50"/>
                <c:pt idx="0">
                  <c:v>#N/A</c:v>
                </c:pt>
                <c:pt idx="1">
                  <c:v>54.076709390744291</c:v>
                </c:pt>
                <c:pt idx="2">
                  <c:v>46.445843824501061</c:v>
                </c:pt>
                <c:pt idx="3">
                  <c:v>43.943676819515609</c:v>
                </c:pt>
                <c:pt idx="4">
                  <c:v>59.589283278895955</c:v>
                </c:pt>
                <c:pt idx="5">
                  <c:v>74.968077449918795</c:v>
                </c:pt>
                <c:pt idx="6">
                  <c:v>109.80608548525599</c:v>
                </c:pt>
                <c:pt idx="7">
                  <c:v>147.52382379705742</c:v>
                </c:pt>
                <c:pt idx="8">
                  <c:v>156.1820531503509</c:v>
                </c:pt>
                <c:pt idx="9">
                  <c:v>135.46766147732862</c:v>
                </c:pt>
                <c:pt idx="10">
                  <c:v>127.29952057799515</c:v>
                </c:pt>
                <c:pt idx="11">
                  <c:v>155.38792834069349</c:v>
                </c:pt>
                <c:pt idx="12">
                  <c:v>222.0580753842568</c:v>
                </c:pt>
                <c:pt idx="13">
                  <c:v>269.74548344930025</c:v>
                </c:pt>
                <c:pt idx="14">
                  <c:v>268.20987978406924</c:v>
                </c:pt>
                <c:pt idx="15">
                  <c:v>243.41141766138026</c:v>
                </c:pt>
                <c:pt idx="16">
                  <c:v>245.6004725985579</c:v>
                </c:pt>
                <c:pt idx="17">
                  <c:v>279.2477540288582</c:v>
                </c:pt>
                <c:pt idx="18">
                  <c:v>353.45527998008424</c:v>
                </c:pt>
                <c:pt idx="19">
                  <c:v>450.79587488174633</c:v>
                </c:pt>
                <c:pt idx="20">
                  <c:v>466.33714477107583</c:v>
                </c:pt>
                <c:pt idx="21">
                  <c:v>513.73047929221218</c:v>
                </c:pt>
                <c:pt idx="22">
                  <c:v>560.11095069414387</c:v>
                </c:pt>
                <c:pt idx="23">
                  <c:v>210.5792102408719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</c:numCache>
            </c:numRef>
          </c:xVal>
          <c:yVal>
            <c:numRef>
              <c:f>CALCULO!$E$7:$E$56</c:f>
              <c:numCache>
                <c:formatCode>General</c:formatCode>
                <c:ptCount val="5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D-922F-4C98-AD65-DBDB22B01B07}"/>
            </c:ext>
          </c:extLst>
        </c:ser>
        <c:ser>
          <c:idx val="6"/>
          <c:order val="14"/>
          <c:tx>
            <c:v>Total</c:v>
          </c:tx>
          <c:spPr>
            <a:ln w="19050" cap="rnd">
              <a:solidFill>
                <a:schemeClr val="bg1">
                  <a:lumMod val="65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CALCULO!$BG$7:$BG$56</c:f>
              <c:numCache>
                <c:formatCode>#\ ##0.0</c:formatCode>
                <c:ptCount val="50"/>
                <c:pt idx="0">
                  <c:v>#N/A</c:v>
                </c:pt>
                <c:pt idx="1">
                  <c:v>75.994895329473678</c:v>
                </c:pt>
                <c:pt idx="2">
                  <c:v>78.764932318588919</c:v>
                </c:pt>
                <c:pt idx="3">
                  <c:v>90.502762330085545</c:v>
                </c:pt>
                <c:pt idx="4">
                  <c:v>116.54927134482433</c:v>
                </c:pt>
                <c:pt idx="5">
                  <c:v>150.00715699345292</c:v>
                </c:pt>
                <c:pt idx="6">
                  <c:v>202.92425650639584</c:v>
                </c:pt>
                <c:pt idx="7">
                  <c:v>270.23836967917396</c:v>
                </c:pt>
                <c:pt idx="8">
                  <c:v>316.17116281569139</c:v>
                </c:pt>
                <c:pt idx="9">
                  <c:v>332.73133492589312</c:v>
                </c:pt>
                <c:pt idx="10">
                  <c:v>354.15956888753635</c:v>
                </c:pt>
                <c:pt idx="11">
                  <c:v>411.84435151121141</c:v>
                </c:pt>
                <c:pt idx="12">
                  <c:v>515.78906233799864</c:v>
                </c:pt>
                <c:pt idx="13">
                  <c:v>619.94650649188441</c:v>
                </c:pt>
                <c:pt idx="14">
                  <c:v>682.55912783774284</c:v>
                </c:pt>
                <c:pt idx="15">
                  <c:v>718.0697962650197</c:v>
                </c:pt>
                <c:pt idx="16">
                  <c:v>772.88979282991602</c:v>
                </c:pt>
                <c:pt idx="17">
                  <c:v>863.00711034905851</c:v>
                </c:pt>
                <c:pt idx="18">
                  <c:v>1001.3628613113739</c:v>
                </c:pt>
                <c:pt idx="19">
                  <c:v>1182.0471535297438</c:v>
                </c:pt>
                <c:pt idx="20">
                  <c:v>1307.8057819636467</c:v>
                </c:pt>
                <c:pt idx="21">
                  <c:v>1453.8991916459854</c:v>
                </c:pt>
                <c:pt idx="22">
                  <c:v>1618.1752105147377</c:v>
                </c:pt>
                <c:pt idx="23">
                  <c:v>1413.412678756152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</c:numCache>
            </c:numRef>
          </c:xVal>
          <c:yVal>
            <c:numRef>
              <c:f>CALCULO!$E$7:$E$56</c:f>
              <c:numCache>
                <c:formatCode>General</c:formatCode>
                <c:ptCount val="5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E-922F-4C98-AD65-DBDB22B01B07}"/>
            </c:ext>
          </c:extLst>
        </c:ser>
        <c:ser>
          <c:idx val="7"/>
          <c:order val="15"/>
          <c:tx>
            <c:v>Radm</c:v>
          </c:tx>
          <c:spPr>
            <a:ln w="19050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xVal>
            <c:numRef>
              <c:f>CALCULO!$BH$7:$BH$56</c:f>
              <c:numCache>
                <c:formatCode>#\ ##0.0</c:formatCode>
                <c:ptCount val="50"/>
                <c:pt idx="0">
                  <c:v>#N/A</c:v>
                </c:pt>
                <c:pt idx="1">
                  <c:v>37.997447664736839</c:v>
                </c:pt>
                <c:pt idx="2">
                  <c:v>39.382466159294459</c:v>
                </c:pt>
                <c:pt idx="3">
                  <c:v>45.251381165042773</c:v>
                </c:pt>
                <c:pt idx="4">
                  <c:v>58.274635672412167</c:v>
                </c:pt>
                <c:pt idx="5">
                  <c:v>75.003578496726462</c:v>
                </c:pt>
                <c:pt idx="6">
                  <c:v>101.46212825319792</c:v>
                </c:pt>
                <c:pt idx="7">
                  <c:v>135.11918483958698</c:v>
                </c:pt>
                <c:pt idx="8">
                  <c:v>158.08558140784569</c:v>
                </c:pt>
                <c:pt idx="9">
                  <c:v>166.36566746294656</c:v>
                </c:pt>
                <c:pt idx="10">
                  <c:v>177.07978444376818</c:v>
                </c:pt>
                <c:pt idx="11">
                  <c:v>205.92217575560571</c:v>
                </c:pt>
                <c:pt idx="12">
                  <c:v>257.89453116899932</c:v>
                </c:pt>
                <c:pt idx="13">
                  <c:v>309.9732532459422</c:v>
                </c:pt>
                <c:pt idx="14">
                  <c:v>341.27956391887142</c:v>
                </c:pt>
                <c:pt idx="15">
                  <c:v>359.03489813250985</c:v>
                </c:pt>
                <c:pt idx="16">
                  <c:v>386.44489641495801</c:v>
                </c:pt>
                <c:pt idx="17">
                  <c:v>431.50355517452925</c:v>
                </c:pt>
                <c:pt idx="18">
                  <c:v>500.68143065568694</c:v>
                </c:pt>
                <c:pt idx="19">
                  <c:v>591.0235767648719</c:v>
                </c:pt>
                <c:pt idx="20">
                  <c:v>653.90289098182336</c:v>
                </c:pt>
                <c:pt idx="21">
                  <c:v>726.94959582299271</c:v>
                </c:pt>
                <c:pt idx="22">
                  <c:v>809.08760525736886</c:v>
                </c:pt>
                <c:pt idx="23">
                  <c:v>706.706339378076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</c:numCache>
            </c:numRef>
          </c:xVal>
          <c:yVal>
            <c:numRef>
              <c:f>CALCULO!$E$7:$E$56</c:f>
              <c:numCache>
                <c:formatCode>General</c:formatCode>
                <c:ptCount val="5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F-922F-4C98-AD65-DBDB22B01B0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10981616"/>
        <c:axId val="310978480"/>
        <c:extLst>
          <c:ext xmlns:c15="http://schemas.microsoft.com/office/drawing/2012/chart" uri="{02D57815-91ED-43cb-92C2-25804820EDAC}">
            <c15:filteredScatterSeries>
              <c15:ser>
                <c:idx val="8"/>
                <c:order val="0"/>
                <c:tx>
                  <c:v>Lateral</c:v>
                </c:tx>
                <c:spPr>
                  <a:ln w="25400">
                    <a:solidFill>
                      <a:schemeClr val="bg1">
                        <a:lumMod val="65000"/>
                      </a:schemeClr>
                    </a:solidFill>
                    <a:prstDash val="sysDash"/>
                  </a:ln>
                </c:spPr>
                <c:marker>
                  <c:symbol val="none"/>
                </c:marker>
                <c:xVal>
                  <c:numRef>
                    <c:extLst>
                      <c:ext uri="{02D57815-91ED-43cb-92C2-25804820EDAC}">
                        <c15:formulaRef>
                          <c15:sqref>CALCULO!$AY$7:$AY$56</c15:sqref>
                        </c15:formulaRef>
                      </c:ext>
                    </c:extLst>
                    <c:numCache>
                      <c:formatCode>0</c:formatCode>
                      <c:ptCount val="50"/>
                      <c:pt idx="0">
                        <c:v>#N/A</c:v>
                      </c:pt>
                      <c:pt idx="1">
                        <c:v>16.336281798666924</c:v>
                      </c:pt>
                      <c:pt idx="2">
                        <c:v>22.870794518133692</c:v>
                      </c:pt>
                      <c:pt idx="3">
                        <c:v>32.672563597333848</c:v>
                      </c:pt>
                      <c:pt idx="4">
                        <c:v>39.207076316800617</c:v>
                      </c:pt>
                      <c:pt idx="5">
                        <c:v>52.27610175573416</c:v>
                      </c:pt>
                      <c:pt idx="6">
                        <c:v>65.345127194667697</c:v>
                      </c:pt>
                      <c:pt idx="7">
                        <c:v>88.215921712801389</c:v>
                      </c:pt>
                      <c:pt idx="8">
                        <c:v>117.62122895040186</c:v>
                      </c:pt>
                      <c:pt idx="9">
                        <c:v>147.02653618800232</c:v>
                      </c:pt>
                      <c:pt idx="10">
                        <c:v>169.89733070613602</c:v>
                      </c:pt>
                      <c:pt idx="11">
                        <c:v>192.76812522426971</c:v>
                      </c:pt>
                      <c:pt idx="12">
                        <c:v>222.17343246187016</c:v>
                      </c:pt>
                      <c:pt idx="13">
                        <c:v>267.91502149813755</c:v>
                      </c:pt>
                      <c:pt idx="14">
                        <c:v>320.19112325387169</c:v>
                      </c:pt>
                      <c:pt idx="15">
                        <c:v>369.19996864987246</c:v>
                      </c:pt>
                      <c:pt idx="16">
                        <c:v>411.67430132640646</c:v>
                      </c:pt>
                      <c:pt idx="17">
                        <c:v>457.41589036267385</c:v>
                      </c:pt>
                      <c:pt idx="18">
                        <c:v>509.691992118408</c:v>
                      </c:pt>
                      <c:pt idx="19">
                        <c:v>578.3043756728091</c:v>
                      </c:pt>
                      <c:pt idx="20">
                        <c:v>669.78755374534387</c:v>
                      </c:pt>
                      <c:pt idx="21">
                        <c:v>751.46896273867856</c:v>
                      </c:pt>
                      <c:pt idx="22">
                        <c:v>849.48665353068009</c:v>
                      </c:pt>
                      <c:pt idx="23">
                        <c:v>970.37513884081534</c:v>
                      </c:pt>
                      <c:pt idx="24">
                        <c:v>970.37513884081534</c:v>
                      </c:pt>
                      <c:pt idx="25">
                        <c:v>970.37513884081534</c:v>
                      </c:pt>
                      <c:pt idx="26">
                        <c:v>970.37513884081534</c:v>
                      </c:pt>
                      <c:pt idx="27">
                        <c:v>970.37513884081534</c:v>
                      </c:pt>
                      <c:pt idx="28">
                        <c:v>970.37513884081534</c:v>
                      </c:pt>
                      <c:pt idx="29">
                        <c:v>970.37513884081534</c:v>
                      </c:pt>
                      <c:pt idx="30">
                        <c:v>970.37513884081534</c:v>
                      </c:pt>
                      <c:pt idx="31">
                        <c:v>970.37513884081534</c:v>
                      </c:pt>
                      <c:pt idx="32">
                        <c:v>970.37513884081534</c:v>
                      </c:pt>
                      <c:pt idx="33">
                        <c:v>970.37513884081534</c:v>
                      </c:pt>
                      <c:pt idx="34">
                        <c:v>970.37513884081534</c:v>
                      </c:pt>
                      <c:pt idx="35">
                        <c:v>970.37513884081534</c:v>
                      </c:pt>
                      <c:pt idx="36">
                        <c:v>970.37513884081534</c:v>
                      </c:pt>
                      <c:pt idx="37">
                        <c:v>970.37513884081534</c:v>
                      </c:pt>
                      <c:pt idx="38">
                        <c:v>970.37513884081534</c:v>
                      </c:pt>
                      <c:pt idx="39">
                        <c:v>970.37513884081534</c:v>
                      </c:pt>
                      <c:pt idx="40">
                        <c:v>970.37513884081534</c:v>
                      </c:pt>
                      <c:pt idx="41">
                        <c:v>970.37513884081534</c:v>
                      </c:pt>
                      <c:pt idx="42">
                        <c:v>970.37513884081534</c:v>
                      </c:pt>
                      <c:pt idx="43">
                        <c:v>970.37513884081534</c:v>
                      </c:pt>
                      <c:pt idx="44">
                        <c:v>970.37513884081534</c:v>
                      </c:pt>
                      <c:pt idx="45">
                        <c:v>970.37513884081534</c:v>
                      </c:pt>
                      <c:pt idx="46">
                        <c:v>970.37513884081534</c:v>
                      </c:pt>
                      <c:pt idx="47">
                        <c:v>970.37513884081534</c:v>
                      </c:pt>
                      <c:pt idx="48">
                        <c:v>970.37513884081534</c:v>
                      </c:pt>
                      <c:pt idx="49">
                        <c:v>970.37513884081534</c:v>
                      </c:pt>
                    </c:numCache>
                  </c:numRef>
                </c:xVal>
                <c:yVal>
                  <c:numRef>
                    <c:extLst>
                      <c:ext uri="{02D57815-91ED-43cb-92C2-25804820EDAC}">
                        <c15:formulaRef>
                          <c15:sqref>CALCULO!$E$7:$E$56</c15:sqref>
                        </c15:formulaRef>
                      </c:ext>
                    </c:extLst>
                    <c:numCache>
                      <c:formatCode>General</c:formatCode>
                      <c:ptCount val="50"/>
                      <c:pt idx="0">
                        <c:v>1</c:v>
                      </c:pt>
                      <c:pt idx="1">
                        <c:v>2</c:v>
                      </c:pt>
                      <c:pt idx="2">
                        <c:v>3</c:v>
                      </c:pt>
                      <c:pt idx="3">
                        <c:v>4</c:v>
                      </c:pt>
                      <c:pt idx="4">
                        <c:v>5</c:v>
                      </c:pt>
                      <c:pt idx="5">
                        <c:v>6</c:v>
                      </c:pt>
                      <c:pt idx="6">
                        <c:v>7</c:v>
                      </c:pt>
                      <c:pt idx="7">
                        <c:v>8</c:v>
                      </c:pt>
                      <c:pt idx="8">
                        <c:v>9</c:v>
                      </c:pt>
                      <c:pt idx="9">
                        <c:v>10</c:v>
                      </c:pt>
                      <c:pt idx="10">
                        <c:v>11</c:v>
                      </c:pt>
                      <c:pt idx="11">
                        <c:v>12</c:v>
                      </c:pt>
                      <c:pt idx="12">
                        <c:v>13</c:v>
                      </c:pt>
                      <c:pt idx="13">
                        <c:v>14</c:v>
                      </c:pt>
                      <c:pt idx="14">
                        <c:v>15</c:v>
                      </c:pt>
                      <c:pt idx="15">
                        <c:v>16</c:v>
                      </c:pt>
                      <c:pt idx="16">
                        <c:v>17</c:v>
                      </c:pt>
                      <c:pt idx="17">
                        <c:v>18</c:v>
                      </c:pt>
                      <c:pt idx="18">
                        <c:v>19</c:v>
                      </c:pt>
                      <c:pt idx="19">
                        <c:v>20</c:v>
                      </c:pt>
                      <c:pt idx="20">
                        <c:v>21</c:v>
                      </c:pt>
                      <c:pt idx="21">
                        <c:v>22</c:v>
                      </c:pt>
                      <c:pt idx="22">
                        <c:v>23</c:v>
                      </c:pt>
                      <c:pt idx="23">
                        <c:v>24</c:v>
                      </c:pt>
                      <c:pt idx="24">
                        <c:v>25</c:v>
                      </c:pt>
                      <c:pt idx="25">
                        <c:v>26</c:v>
                      </c:pt>
                      <c:pt idx="26">
                        <c:v>27</c:v>
                      </c:pt>
                      <c:pt idx="27">
                        <c:v>28</c:v>
                      </c:pt>
                      <c:pt idx="28">
                        <c:v>29</c:v>
                      </c:pt>
                      <c:pt idx="29">
                        <c:v>30</c:v>
                      </c:pt>
                      <c:pt idx="30">
                        <c:v>31</c:v>
                      </c:pt>
                      <c:pt idx="31">
                        <c:v>32</c:v>
                      </c:pt>
                      <c:pt idx="32">
                        <c:v>33</c:v>
                      </c:pt>
                      <c:pt idx="33">
                        <c:v>34</c:v>
                      </c:pt>
                      <c:pt idx="34">
                        <c:v>35</c:v>
                      </c:pt>
                      <c:pt idx="35">
                        <c:v>36</c:v>
                      </c:pt>
                      <c:pt idx="36">
                        <c:v>37</c:v>
                      </c:pt>
                      <c:pt idx="37">
                        <c:v>38</c:v>
                      </c:pt>
                      <c:pt idx="38">
                        <c:v>39</c:v>
                      </c:pt>
                      <c:pt idx="39">
                        <c:v>40</c:v>
                      </c:pt>
                      <c:pt idx="40">
                        <c:v>41</c:v>
                      </c:pt>
                      <c:pt idx="41">
                        <c:v>42</c:v>
                      </c:pt>
                      <c:pt idx="42">
                        <c:v>43</c:v>
                      </c:pt>
                      <c:pt idx="43">
                        <c:v>44</c:v>
                      </c:pt>
                      <c:pt idx="44">
                        <c:v>45</c:v>
                      </c:pt>
                      <c:pt idx="45">
                        <c:v>46</c:v>
                      </c:pt>
                      <c:pt idx="46">
                        <c:v>47</c:v>
                      </c:pt>
                      <c:pt idx="47">
                        <c:v>48</c:v>
                      </c:pt>
                      <c:pt idx="48">
                        <c:v>49</c:v>
                      </c:pt>
                      <c:pt idx="49">
                        <c:v>50</c:v>
                      </c:pt>
                    </c:numCache>
                  </c:numRef>
                </c:yVal>
                <c:smooth val="0"/>
                <c:extLst>
                  <c:ext xmlns:c16="http://schemas.microsoft.com/office/drawing/2014/chart" uri="{C3380CC4-5D6E-409C-BE32-E72D297353CC}">
                    <c16:uniqueId val="{00000000-922F-4C98-AD65-DBDB22B01B07}"/>
                  </c:ext>
                </c:extLst>
              </c15:ser>
            </c15:filteredScatterSeries>
            <c15:filteredScatterSeries>
              <c15:ser>
                <c:idx val="13"/>
                <c:order val="5"/>
                <c:tx>
                  <c:v>Ponta</c:v>
                </c:tx>
                <c:spPr>
                  <a:ln w="25400">
                    <a:solidFill>
                      <a:schemeClr val="bg1">
                        <a:lumMod val="65000"/>
                      </a:schemeClr>
                    </a:solidFill>
                    <a:prstDash val="sysDot"/>
                  </a:ln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CALCULO!$AZ$7:$AZ$56</c15:sqref>
                        </c15:formulaRef>
                      </c:ext>
                    </c:extLst>
                    <c:numCache>
                      <c:formatCode>#,##0.00</c:formatCode>
                      <c:ptCount val="50"/>
                      <c:pt idx="0">
                        <c:v>#N/A</c:v>
                      </c:pt>
                      <c:pt idx="1">
                        <c:v>70.082648916281101</c:v>
                      </c:pt>
                      <c:pt idx="2">
                        <c:v>36.511589820020582</c:v>
                      </c:pt>
                      <c:pt idx="3">
                        <c:v>44.107960856400702</c:v>
                      </c:pt>
                      <c:pt idx="4">
                        <c:v>38.716987862840618</c:v>
                      </c:pt>
                      <c:pt idx="5">
                        <c:v>62.731322106880995</c:v>
                      </c:pt>
                      <c:pt idx="6">
                        <c:v>73.268223867021177</c:v>
                      </c:pt>
                      <c:pt idx="7">
                        <c:v>116.39600781550186</c:v>
                      </c:pt>
                      <c:pt idx="8">
                        <c:v>142.37069587538227</c:v>
                      </c:pt>
                      <c:pt idx="9">
                        <c:v>136.97972288182217</c:v>
                      </c:pt>
                      <c:pt idx="10">
                        <c:v>112.4753001838218</c:v>
                      </c:pt>
                      <c:pt idx="11">
                        <c:v>117.86627317738188</c:v>
                      </c:pt>
                      <c:pt idx="12">
                        <c:v>158.29857062908252</c:v>
                      </c:pt>
                      <c:pt idx="13">
                        <c:v>226.9109541834836</c:v>
                      </c:pt>
                      <c:pt idx="14">
                        <c:v>250.68024420054402</c:v>
                      </c:pt>
                      <c:pt idx="15">
                        <c:v>233.03705985798373</c:v>
                      </c:pt>
                      <c:pt idx="16">
                        <c:v>211.22812365676336</c:v>
                      </c:pt>
                      <c:pt idx="17">
                        <c:v>228.87130799932362</c:v>
                      </c:pt>
                      <c:pt idx="18">
                        <c:v>269.79369390498431</c:v>
                      </c:pt>
                      <c:pt idx="19">
                        <c:v>354.33395221308564</c:v>
                      </c:pt>
                      <c:pt idx="20">
                        <c:v>432.99314907366693</c:v>
                      </c:pt>
                      <c:pt idx="21">
                        <c:v>415.59500895808662</c:v>
                      </c:pt>
                      <c:pt idx="22">
                        <c:v>497.68482499638793</c:v>
                      </c:pt>
                      <c:pt idx="23">
                        <c:v>468.03447353180746</c:v>
                      </c:pt>
                      <c:pt idx="24">
                        <c:v>0</c:v>
                      </c:pt>
                      <c:pt idx="25">
                        <c:v>0</c:v>
                      </c:pt>
                      <c:pt idx="26">
                        <c:v>0</c:v>
                      </c:pt>
                      <c:pt idx="27">
                        <c:v>0</c:v>
                      </c:pt>
                      <c:pt idx="28">
                        <c:v>0</c:v>
                      </c:pt>
                      <c:pt idx="29">
                        <c:v>0</c:v>
                      </c:pt>
                      <c:pt idx="30">
                        <c:v>0</c:v>
                      </c:pt>
                      <c:pt idx="31">
                        <c:v>0</c:v>
                      </c:pt>
                      <c:pt idx="32">
                        <c:v>0</c:v>
                      </c:pt>
                      <c:pt idx="33">
                        <c:v>0</c:v>
                      </c:pt>
                      <c:pt idx="34">
                        <c:v>0</c:v>
                      </c:pt>
                      <c:pt idx="35">
                        <c:v>0</c:v>
                      </c:pt>
                      <c:pt idx="36">
                        <c:v>0</c:v>
                      </c:pt>
                      <c:pt idx="37">
                        <c:v>0</c:v>
                      </c:pt>
                      <c:pt idx="38">
                        <c:v>0</c:v>
                      </c:pt>
                      <c:pt idx="39">
                        <c:v>0</c:v>
                      </c:pt>
                      <c:pt idx="40">
                        <c:v>0</c:v>
                      </c:pt>
                      <c:pt idx="41">
                        <c:v>0</c:v>
                      </c:pt>
                      <c:pt idx="42">
                        <c:v>0</c:v>
                      </c:pt>
                      <c:pt idx="43">
                        <c:v>0</c:v>
                      </c:pt>
                      <c:pt idx="44">
                        <c:v>0</c:v>
                      </c:pt>
                      <c:pt idx="45">
                        <c:v>0</c:v>
                      </c:pt>
                      <c:pt idx="46">
                        <c:v>0</c:v>
                      </c:pt>
                      <c:pt idx="47">
                        <c:v>0</c:v>
                      </c:pt>
                      <c:pt idx="48">
                        <c:v>0</c:v>
                      </c:pt>
                      <c:pt idx="49">
                        <c:v>0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CALCULO!$E$7:$E$56</c15:sqref>
                        </c15:formulaRef>
                      </c:ext>
                    </c:extLst>
                    <c:numCache>
                      <c:formatCode>General</c:formatCode>
                      <c:ptCount val="50"/>
                      <c:pt idx="0">
                        <c:v>1</c:v>
                      </c:pt>
                      <c:pt idx="1">
                        <c:v>2</c:v>
                      </c:pt>
                      <c:pt idx="2">
                        <c:v>3</c:v>
                      </c:pt>
                      <c:pt idx="3">
                        <c:v>4</c:v>
                      </c:pt>
                      <c:pt idx="4">
                        <c:v>5</c:v>
                      </c:pt>
                      <c:pt idx="5">
                        <c:v>6</c:v>
                      </c:pt>
                      <c:pt idx="6">
                        <c:v>7</c:v>
                      </c:pt>
                      <c:pt idx="7">
                        <c:v>8</c:v>
                      </c:pt>
                      <c:pt idx="8">
                        <c:v>9</c:v>
                      </c:pt>
                      <c:pt idx="9">
                        <c:v>10</c:v>
                      </c:pt>
                      <c:pt idx="10">
                        <c:v>11</c:v>
                      </c:pt>
                      <c:pt idx="11">
                        <c:v>12</c:v>
                      </c:pt>
                      <c:pt idx="12">
                        <c:v>13</c:v>
                      </c:pt>
                      <c:pt idx="13">
                        <c:v>14</c:v>
                      </c:pt>
                      <c:pt idx="14">
                        <c:v>15</c:v>
                      </c:pt>
                      <c:pt idx="15">
                        <c:v>16</c:v>
                      </c:pt>
                      <c:pt idx="16">
                        <c:v>17</c:v>
                      </c:pt>
                      <c:pt idx="17">
                        <c:v>18</c:v>
                      </c:pt>
                      <c:pt idx="18">
                        <c:v>19</c:v>
                      </c:pt>
                      <c:pt idx="19">
                        <c:v>20</c:v>
                      </c:pt>
                      <c:pt idx="20">
                        <c:v>21</c:v>
                      </c:pt>
                      <c:pt idx="21">
                        <c:v>22</c:v>
                      </c:pt>
                      <c:pt idx="22">
                        <c:v>23</c:v>
                      </c:pt>
                      <c:pt idx="23">
                        <c:v>24</c:v>
                      </c:pt>
                      <c:pt idx="24">
                        <c:v>25</c:v>
                      </c:pt>
                      <c:pt idx="25">
                        <c:v>26</c:v>
                      </c:pt>
                      <c:pt idx="26">
                        <c:v>27</c:v>
                      </c:pt>
                      <c:pt idx="27">
                        <c:v>28</c:v>
                      </c:pt>
                      <c:pt idx="28">
                        <c:v>29</c:v>
                      </c:pt>
                      <c:pt idx="29">
                        <c:v>30</c:v>
                      </c:pt>
                      <c:pt idx="30">
                        <c:v>31</c:v>
                      </c:pt>
                      <c:pt idx="31">
                        <c:v>32</c:v>
                      </c:pt>
                      <c:pt idx="32">
                        <c:v>33</c:v>
                      </c:pt>
                      <c:pt idx="33">
                        <c:v>34</c:v>
                      </c:pt>
                      <c:pt idx="34">
                        <c:v>35</c:v>
                      </c:pt>
                      <c:pt idx="35">
                        <c:v>36</c:v>
                      </c:pt>
                      <c:pt idx="36">
                        <c:v>37</c:v>
                      </c:pt>
                      <c:pt idx="37">
                        <c:v>38</c:v>
                      </c:pt>
                      <c:pt idx="38">
                        <c:v>39</c:v>
                      </c:pt>
                      <c:pt idx="39">
                        <c:v>40</c:v>
                      </c:pt>
                      <c:pt idx="40">
                        <c:v>41</c:v>
                      </c:pt>
                      <c:pt idx="41">
                        <c:v>42</c:v>
                      </c:pt>
                      <c:pt idx="42">
                        <c:v>43</c:v>
                      </c:pt>
                      <c:pt idx="43">
                        <c:v>44</c:v>
                      </c:pt>
                      <c:pt idx="44">
                        <c:v>45</c:v>
                      </c:pt>
                      <c:pt idx="45">
                        <c:v>46</c:v>
                      </c:pt>
                      <c:pt idx="46">
                        <c:v>47</c:v>
                      </c:pt>
                      <c:pt idx="47">
                        <c:v>48</c:v>
                      </c:pt>
                      <c:pt idx="48">
                        <c:v>49</c:v>
                      </c:pt>
                      <c:pt idx="49">
                        <c:v>50</c:v>
                      </c:pt>
                    </c:numCache>
                  </c:numRef>
                </c:y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922F-4C98-AD65-DBDB22B01B07}"/>
                  </c:ext>
                </c:extLst>
              </c15:ser>
            </c15:filteredScatterSeries>
            <c15:filteredScatterSeries>
              <c15:ser>
                <c:idx val="14"/>
                <c:order val="6"/>
                <c:tx>
                  <c:v>Total</c:v>
                </c:tx>
                <c:spPr>
                  <a:ln>
                    <a:solidFill>
                      <a:schemeClr val="bg1">
                        <a:lumMod val="65000"/>
                      </a:schemeClr>
                    </a:solidFill>
                  </a:ln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CALCULO!$BA$7:$BA$56</c15:sqref>
                        </c15:formulaRef>
                      </c:ext>
                    </c:extLst>
                    <c:numCache>
                      <c:formatCode>#\ ##0.0</c:formatCode>
                      <c:ptCount val="50"/>
                      <c:pt idx="0">
                        <c:v>#N/A</c:v>
                      </c:pt>
                      <c:pt idx="1">
                        <c:v>86.418930714948033</c:v>
                      </c:pt>
                      <c:pt idx="2">
                        <c:v>59.382384338154274</c:v>
                      </c:pt>
                      <c:pt idx="3">
                        <c:v>76.780524453734557</c:v>
                      </c:pt>
                      <c:pt idx="4">
                        <c:v>77.924064179641235</c:v>
                      </c:pt>
                      <c:pt idx="5">
                        <c:v>115.00742386261516</c:v>
                      </c:pt>
                      <c:pt idx="6">
                        <c:v>138.61335106168889</c:v>
                      </c:pt>
                      <c:pt idx="7">
                        <c:v>204.61192952830325</c:v>
                      </c:pt>
                      <c:pt idx="8">
                        <c:v>259.99192482578411</c:v>
                      </c:pt>
                      <c:pt idx="9">
                        <c:v>284.00625906982452</c:v>
                      </c:pt>
                      <c:pt idx="10">
                        <c:v>282.3726308899578</c:v>
                      </c:pt>
                      <c:pt idx="11">
                        <c:v>310.63439840165159</c:v>
                      </c:pt>
                      <c:pt idx="12">
                        <c:v>380.47200309095268</c:v>
                      </c:pt>
                      <c:pt idx="13">
                        <c:v>494.82597568162112</c:v>
                      </c:pt>
                      <c:pt idx="14">
                        <c:v>570.87136745441569</c:v>
                      </c:pt>
                      <c:pt idx="15">
                        <c:v>602.23702850785617</c:v>
                      </c:pt>
                      <c:pt idx="16">
                        <c:v>622.90242498316979</c:v>
                      </c:pt>
                      <c:pt idx="17">
                        <c:v>686.28719836199753</c:v>
                      </c:pt>
                      <c:pt idx="18">
                        <c:v>779.4856860233923</c:v>
                      </c:pt>
                      <c:pt idx="19">
                        <c:v>932.6383278858948</c:v>
                      </c:pt>
                      <c:pt idx="20">
                        <c:v>1102.7807028190109</c:v>
                      </c:pt>
                      <c:pt idx="21">
                        <c:v>1167.0639716967653</c:v>
                      </c:pt>
                      <c:pt idx="22">
                        <c:v>1347.1714785270681</c:v>
                      </c:pt>
                      <c:pt idx="23">
                        <c:v>1438.4096123726229</c:v>
                      </c:pt>
                      <c:pt idx="24">
                        <c:v>#N/A</c:v>
                      </c:pt>
                      <c:pt idx="25">
                        <c:v>#N/A</c:v>
                      </c:pt>
                      <c:pt idx="26">
                        <c:v>#N/A</c:v>
                      </c:pt>
                      <c:pt idx="27">
                        <c:v>#N/A</c:v>
                      </c:pt>
                      <c:pt idx="28">
                        <c:v>#N/A</c:v>
                      </c:pt>
                      <c:pt idx="29">
                        <c:v>#N/A</c:v>
                      </c:pt>
                      <c:pt idx="30">
                        <c:v>#N/A</c:v>
                      </c:pt>
                      <c:pt idx="31">
                        <c:v>#N/A</c:v>
                      </c:pt>
                      <c:pt idx="32">
                        <c:v>#N/A</c:v>
                      </c:pt>
                      <c:pt idx="33">
                        <c:v>#N/A</c:v>
                      </c:pt>
                      <c:pt idx="34">
                        <c:v>#N/A</c:v>
                      </c:pt>
                      <c:pt idx="35">
                        <c:v>#N/A</c:v>
                      </c:pt>
                      <c:pt idx="36">
                        <c:v>#N/A</c:v>
                      </c:pt>
                      <c:pt idx="37">
                        <c:v>#N/A</c:v>
                      </c:pt>
                      <c:pt idx="38">
                        <c:v>#N/A</c:v>
                      </c:pt>
                      <c:pt idx="39">
                        <c:v>#N/A</c:v>
                      </c:pt>
                      <c:pt idx="40">
                        <c:v>#N/A</c:v>
                      </c:pt>
                      <c:pt idx="41">
                        <c:v>#N/A</c:v>
                      </c:pt>
                      <c:pt idx="42">
                        <c:v>#N/A</c:v>
                      </c:pt>
                      <c:pt idx="43">
                        <c:v>#N/A</c:v>
                      </c:pt>
                      <c:pt idx="44">
                        <c:v>#N/A</c:v>
                      </c:pt>
                      <c:pt idx="45">
                        <c:v>#N/A</c:v>
                      </c:pt>
                      <c:pt idx="46">
                        <c:v>#N/A</c:v>
                      </c:pt>
                      <c:pt idx="47">
                        <c:v>#N/A</c:v>
                      </c:pt>
                      <c:pt idx="48">
                        <c:v>#N/A</c:v>
                      </c:pt>
                      <c:pt idx="49">
                        <c:v>#N/A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CALCULO!$E$7:$E$56</c15:sqref>
                        </c15:formulaRef>
                      </c:ext>
                    </c:extLst>
                    <c:numCache>
                      <c:formatCode>General</c:formatCode>
                      <c:ptCount val="50"/>
                      <c:pt idx="0">
                        <c:v>1</c:v>
                      </c:pt>
                      <c:pt idx="1">
                        <c:v>2</c:v>
                      </c:pt>
                      <c:pt idx="2">
                        <c:v>3</c:v>
                      </c:pt>
                      <c:pt idx="3">
                        <c:v>4</c:v>
                      </c:pt>
                      <c:pt idx="4">
                        <c:v>5</c:v>
                      </c:pt>
                      <c:pt idx="5">
                        <c:v>6</c:v>
                      </c:pt>
                      <c:pt idx="6">
                        <c:v>7</c:v>
                      </c:pt>
                      <c:pt idx="7">
                        <c:v>8</c:v>
                      </c:pt>
                      <c:pt idx="8">
                        <c:v>9</c:v>
                      </c:pt>
                      <c:pt idx="9">
                        <c:v>10</c:v>
                      </c:pt>
                      <c:pt idx="10">
                        <c:v>11</c:v>
                      </c:pt>
                      <c:pt idx="11">
                        <c:v>12</c:v>
                      </c:pt>
                      <c:pt idx="12">
                        <c:v>13</c:v>
                      </c:pt>
                      <c:pt idx="13">
                        <c:v>14</c:v>
                      </c:pt>
                      <c:pt idx="14">
                        <c:v>15</c:v>
                      </c:pt>
                      <c:pt idx="15">
                        <c:v>16</c:v>
                      </c:pt>
                      <c:pt idx="16">
                        <c:v>17</c:v>
                      </c:pt>
                      <c:pt idx="17">
                        <c:v>18</c:v>
                      </c:pt>
                      <c:pt idx="18">
                        <c:v>19</c:v>
                      </c:pt>
                      <c:pt idx="19">
                        <c:v>20</c:v>
                      </c:pt>
                      <c:pt idx="20">
                        <c:v>21</c:v>
                      </c:pt>
                      <c:pt idx="21">
                        <c:v>22</c:v>
                      </c:pt>
                      <c:pt idx="22">
                        <c:v>23</c:v>
                      </c:pt>
                      <c:pt idx="23">
                        <c:v>24</c:v>
                      </c:pt>
                      <c:pt idx="24">
                        <c:v>25</c:v>
                      </c:pt>
                      <c:pt idx="25">
                        <c:v>26</c:v>
                      </c:pt>
                      <c:pt idx="26">
                        <c:v>27</c:v>
                      </c:pt>
                      <c:pt idx="27">
                        <c:v>28</c:v>
                      </c:pt>
                      <c:pt idx="28">
                        <c:v>29</c:v>
                      </c:pt>
                      <c:pt idx="29">
                        <c:v>30</c:v>
                      </c:pt>
                      <c:pt idx="30">
                        <c:v>31</c:v>
                      </c:pt>
                      <c:pt idx="31">
                        <c:v>32</c:v>
                      </c:pt>
                      <c:pt idx="32">
                        <c:v>33</c:v>
                      </c:pt>
                      <c:pt idx="33">
                        <c:v>34</c:v>
                      </c:pt>
                      <c:pt idx="34">
                        <c:v>35</c:v>
                      </c:pt>
                      <c:pt idx="35">
                        <c:v>36</c:v>
                      </c:pt>
                      <c:pt idx="36">
                        <c:v>37</c:v>
                      </c:pt>
                      <c:pt idx="37">
                        <c:v>38</c:v>
                      </c:pt>
                      <c:pt idx="38">
                        <c:v>39</c:v>
                      </c:pt>
                      <c:pt idx="39">
                        <c:v>40</c:v>
                      </c:pt>
                      <c:pt idx="40">
                        <c:v>41</c:v>
                      </c:pt>
                      <c:pt idx="41">
                        <c:v>42</c:v>
                      </c:pt>
                      <c:pt idx="42">
                        <c:v>43</c:v>
                      </c:pt>
                      <c:pt idx="43">
                        <c:v>44</c:v>
                      </c:pt>
                      <c:pt idx="44">
                        <c:v>45</c:v>
                      </c:pt>
                      <c:pt idx="45">
                        <c:v>46</c:v>
                      </c:pt>
                      <c:pt idx="46">
                        <c:v>47</c:v>
                      </c:pt>
                      <c:pt idx="47">
                        <c:v>48</c:v>
                      </c:pt>
                      <c:pt idx="48">
                        <c:v>49</c:v>
                      </c:pt>
                      <c:pt idx="49">
                        <c:v>50</c:v>
                      </c:pt>
                    </c:numCache>
                  </c:numRef>
                </c:y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922F-4C98-AD65-DBDB22B01B07}"/>
                  </c:ext>
                </c:extLst>
              </c15:ser>
            </c15:filteredScatterSeries>
            <c15:filteredScatterSeries>
              <c15:ser>
                <c:idx val="15"/>
                <c:order val="7"/>
                <c:tx>
                  <c:v>Radm</c:v>
                </c:tx>
                <c:spPr>
                  <a:ln>
                    <a:solidFill>
                      <a:srgbClr val="FF0000"/>
                    </a:solidFill>
                  </a:ln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CALCULO!$BB$7:$BB$56</c15:sqref>
                        </c15:formulaRef>
                      </c:ext>
                    </c:extLst>
                    <c:numCache>
                      <c:formatCode>#\ ##0.0</c:formatCode>
                      <c:ptCount val="50"/>
                      <c:pt idx="0">
                        <c:v>#N/A</c:v>
                      </c:pt>
                      <c:pt idx="1">
                        <c:v>43.209465357474016</c:v>
                      </c:pt>
                      <c:pt idx="2">
                        <c:v>29.691192169077137</c:v>
                      </c:pt>
                      <c:pt idx="3">
                        <c:v>38.390262226867279</c:v>
                      </c:pt>
                      <c:pt idx="4">
                        <c:v>38.962032089820617</c:v>
                      </c:pt>
                      <c:pt idx="5">
                        <c:v>57.503711931307578</c:v>
                      </c:pt>
                      <c:pt idx="6">
                        <c:v>69.306675530844444</c:v>
                      </c:pt>
                      <c:pt idx="7">
                        <c:v>102.30596476415162</c:v>
                      </c:pt>
                      <c:pt idx="8">
                        <c:v>129.99596241289206</c:v>
                      </c:pt>
                      <c:pt idx="9">
                        <c:v>142.00312953491226</c:v>
                      </c:pt>
                      <c:pt idx="10">
                        <c:v>141.1863154449789</c:v>
                      </c:pt>
                      <c:pt idx="11">
                        <c:v>155.3171992008258</c:v>
                      </c:pt>
                      <c:pt idx="12">
                        <c:v>190.23600154547634</c:v>
                      </c:pt>
                      <c:pt idx="13">
                        <c:v>247.41298784081056</c:v>
                      </c:pt>
                      <c:pt idx="14">
                        <c:v>285.43568372720785</c:v>
                      </c:pt>
                      <c:pt idx="15">
                        <c:v>301.11851425392808</c:v>
                      </c:pt>
                      <c:pt idx="16">
                        <c:v>311.4512124915849</c:v>
                      </c:pt>
                      <c:pt idx="17">
                        <c:v>343.14359918099876</c:v>
                      </c:pt>
                      <c:pt idx="18">
                        <c:v>389.74284301169615</c:v>
                      </c:pt>
                      <c:pt idx="19">
                        <c:v>466.3191639429474</c:v>
                      </c:pt>
                      <c:pt idx="20">
                        <c:v>551.39035140950546</c:v>
                      </c:pt>
                      <c:pt idx="21">
                        <c:v>583.53198584838265</c:v>
                      </c:pt>
                      <c:pt idx="22">
                        <c:v>673.58573926353404</c:v>
                      </c:pt>
                      <c:pt idx="23">
                        <c:v>719.20480618631143</c:v>
                      </c:pt>
                      <c:pt idx="24">
                        <c:v>#N/A</c:v>
                      </c:pt>
                      <c:pt idx="25">
                        <c:v>#N/A</c:v>
                      </c:pt>
                      <c:pt idx="26">
                        <c:v>#N/A</c:v>
                      </c:pt>
                      <c:pt idx="27">
                        <c:v>#N/A</c:v>
                      </c:pt>
                      <c:pt idx="28">
                        <c:v>#N/A</c:v>
                      </c:pt>
                      <c:pt idx="29">
                        <c:v>#N/A</c:v>
                      </c:pt>
                      <c:pt idx="30">
                        <c:v>#N/A</c:v>
                      </c:pt>
                      <c:pt idx="31">
                        <c:v>#N/A</c:v>
                      </c:pt>
                      <c:pt idx="32">
                        <c:v>#N/A</c:v>
                      </c:pt>
                      <c:pt idx="33">
                        <c:v>#N/A</c:v>
                      </c:pt>
                      <c:pt idx="34">
                        <c:v>#N/A</c:v>
                      </c:pt>
                      <c:pt idx="35">
                        <c:v>#N/A</c:v>
                      </c:pt>
                      <c:pt idx="36">
                        <c:v>#N/A</c:v>
                      </c:pt>
                      <c:pt idx="37">
                        <c:v>#N/A</c:v>
                      </c:pt>
                      <c:pt idx="38">
                        <c:v>#N/A</c:v>
                      </c:pt>
                      <c:pt idx="39">
                        <c:v>#N/A</c:v>
                      </c:pt>
                      <c:pt idx="40">
                        <c:v>#N/A</c:v>
                      </c:pt>
                      <c:pt idx="41">
                        <c:v>#N/A</c:v>
                      </c:pt>
                      <c:pt idx="42">
                        <c:v>#N/A</c:v>
                      </c:pt>
                      <c:pt idx="43">
                        <c:v>#N/A</c:v>
                      </c:pt>
                      <c:pt idx="44">
                        <c:v>#N/A</c:v>
                      </c:pt>
                      <c:pt idx="45">
                        <c:v>#N/A</c:v>
                      </c:pt>
                      <c:pt idx="46">
                        <c:v>#N/A</c:v>
                      </c:pt>
                      <c:pt idx="47">
                        <c:v>#N/A</c:v>
                      </c:pt>
                      <c:pt idx="48">
                        <c:v>#N/A</c:v>
                      </c:pt>
                      <c:pt idx="49">
                        <c:v>#N/A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CALCULO!$E$7:$E$56</c15:sqref>
                        </c15:formulaRef>
                      </c:ext>
                    </c:extLst>
                    <c:numCache>
                      <c:formatCode>General</c:formatCode>
                      <c:ptCount val="50"/>
                      <c:pt idx="0">
                        <c:v>1</c:v>
                      </c:pt>
                      <c:pt idx="1">
                        <c:v>2</c:v>
                      </c:pt>
                      <c:pt idx="2">
                        <c:v>3</c:v>
                      </c:pt>
                      <c:pt idx="3">
                        <c:v>4</c:v>
                      </c:pt>
                      <c:pt idx="4">
                        <c:v>5</c:v>
                      </c:pt>
                      <c:pt idx="5">
                        <c:v>6</c:v>
                      </c:pt>
                      <c:pt idx="6">
                        <c:v>7</c:v>
                      </c:pt>
                      <c:pt idx="7">
                        <c:v>8</c:v>
                      </c:pt>
                      <c:pt idx="8">
                        <c:v>9</c:v>
                      </c:pt>
                      <c:pt idx="9">
                        <c:v>10</c:v>
                      </c:pt>
                      <c:pt idx="10">
                        <c:v>11</c:v>
                      </c:pt>
                      <c:pt idx="11">
                        <c:v>12</c:v>
                      </c:pt>
                      <c:pt idx="12">
                        <c:v>13</c:v>
                      </c:pt>
                      <c:pt idx="13">
                        <c:v>14</c:v>
                      </c:pt>
                      <c:pt idx="14">
                        <c:v>15</c:v>
                      </c:pt>
                      <c:pt idx="15">
                        <c:v>16</c:v>
                      </c:pt>
                      <c:pt idx="16">
                        <c:v>17</c:v>
                      </c:pt>
                      <c:pt idx="17">
                        <c:v>18</c:v>
                      </c:pt>
                      <c:pt idx="18">
                        <c:v>19</c:v>
                      </c:pt>
                      <c:pt idx="19">
                        <c:v>20</c:v>
                      </c:pt>
                      <c:pt idx="20">
                        <c:v>21</c:v>
                      </c:pt>
                      <c:pt idx="21">
                        <c:v>22</c:v>
                      </c:pt>
                      <c:pt idx="22">
                        <c:v>23</c:v>
                      </c:pt>
                      <c:pt idx="23">
                        <c:v>24</c:v>
                      </c:pt>
                      <c:pt idx="24">
                        <c:v>25</c:v>
                      </c:pt>
                      <c:pt idx="25">
                        <c:v>26</c:v>
                      </c:pt>
                      <c:pt idx="26">
                        <c:v>27</c:v>
                      </c:pt>
                      <c:pt idx="27">
                        <c:v>28</c:v>
                      </c:pt>
                      <c:pt idx="28">
                        <c:v>29</c:v>
                      </c:pt>
                      <c:pt idx="29">
                        <c:v>30</c:v>
                      </c:pt>
                      <c:pt idx="30">
                        <c:v>31</c:v>
                      </c:pt>
                      <c:pt idx="31">
                        <c:v>32</c:v>
                      </c:pt>
                      <c:pt idx="32">
                        <c:v>33</c:v>
                      </c:pt>
                      <c:pt idx="33">
                        <c:v>34</c:v>
                      </c:pt>
                      <c:pt idx="34">
                        <c:v>35</c:v>
                      </c:pt>
                      <c:pt idx="35">
                        <c:v>36</c:v>
                      </c:pt>
                      <c:pt idx="36">
                        <c:v>37</c:v>
                      </c:pt>
                      <c:pt idx="37">
                        <c:v>38</c:v>
                      </c:pt>
                      <c:pt idx="38">
                        <c:v>39</c:v>
                      </c:pt>
                      <c:pt idx="39">
                        <c:v>40</c:v>
                      </c:pt>
                      <c:pt idx="40">
                        <c:v>41</c:v>
                      </c:pt>
                      <c:pt idx="41">
                        <c:v>42</c:v>
                      </c:pt>
                      <c:pt idx="42">
                        <c:v>43</c:v>
                      </c:pt>
                      <c:pt idx="43">
                        <c:v>44</c:v>
                      </c:pt>
                      <c:pt idx="44">
                        <c:v>45</c:v>
                      </c:pt>
                      <c:pt idx="45">
                        <c:v>46</c:v>
                      </c:pt>
                      <c:pt idx="46">
                        <c:v>47</c:v>
                      </c:pt>
                      <c:pt idx="47">
                        <c:v>48</c:v>
                      </c:pt>
                      <c:pt idx="48">
                        <c:v>49</c:v>
                      </c:pt>
                      <c:pt idx="49">
                        <c:v>50</c:v>
                      </c:pt>
                    </c:numCache>
                  </c:numRef>
                </c:y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922F-4C98-AD65-DBDB22B01B07}"/>
                  </c:ext>
                </c:extLst>
              </c15:ser>
            </c15:filteredScatterSeries>
          </c:ext>
        </c:extLst>
      </c:scatterChart>
      <c:valAx>
        <c:axId val="310981616"/>
        <c:scaling>
          <c:orientation val="minMax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310978480"/>
        <c:crosses val="autoZero"/>
        <c:crossBetween val="midCat"/>
      </c:valAx>
      <c:valAx>
        <c:axId val="310978480"/>
        <c:scaling>
          <c:orientation val="maxMin"/>
          <c:max val="5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400"/>
                  <a:t>Profundidade (m)</a:t>
                </a:r>
              </a:p>
            </c:rich>
          </c:tx>
          <c:layout>
            <c:manualLayout>
              <c:xMode val="edge"/>
              <c:yMode val="edge"/>
              <c:x val="1.521901685008448E-3"/>
              <c:y val="0.44945933555096435"/>
            </c:manualLayout>
          </c:layout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310981616"/>
        <c:crosses val="autoZero"/>
        <c:crossBetween val="midCat"/>
        <c:majorUnit val="2"/>
        <c:minorUnit val="1"/>
      </c:valAx>
    </c:plotArea>
    <c:legend>
      <c:legendPos val="r"/>
      <c:layout>
        <c:manualLayout>
          <c:xMode val="edge"/>
          <c:yMode val="edge"/>
          <c:x val="0.56550114985980116"/>
          <c:y val="0.12220676158289778"/>
          <c:w val="0.31630163365463415"/>
          <c:h val="9.511217432031639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600"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2582159686430125"/>
          <c:y val="4.3692733505684776E-2"/>
          <c:w val="0.76932707241544773"/>
          <c:h val="0.91261453298863049"/>
        </c:manualLayout>
      </c:layout>
      <c:scatterChart>
        <c:scatterStyle val="lineMarker"/>
        <c:varyColors val="0"/>
        <c:ser>
          <c:idx val="0"/>
          <c:order val="0"/>
          <c:spPr>
            <a:ln>
              <a:solidFill>
                <a:srgbClr val="000000"/>
              </a:solidFill>
            </a:ln>
          </c:spPr>
          <c:marker>
            <c:symbol val="none"/>
          </c:marker>
          <c:xVal>
            <c:numLit>
              <c:formatCode>General</c:formatCode>
              <c:ptCount val="360"/>
              <c:pt idx="0">
                <c:v>1</c:v>
              </c:pt>
              <c:pt idx="1">
                <c:v>0.99984769515639127</c:v>
              </c:pt>
              <c:pt idx="2">
                <c:v>0.99939082701909576</c:v>
              </c:pt>
              <c:pt idx="3">
                <c:v>0.99862953475457383</c:v>
              </c:pt>
              <c:pt idx="4">
                <c:v>0.9975640502598242</c:v>
              </c:pt>
              <c:pt idx="5">
                <c:v>0.99619469809174555</c:v>
              </c:pt>
              <c:pt idx="6">
                <c:v>0.99452189536827329</c:v>
              </c:pt>
              <c:pt idx="7">
                <c:v>0.99254615164132198</c:v>
              </c:pt>
              <c:pt idx="8">
                <c:v>0.99026806874157036</c:v>
              </c:pt>
              <c:pt idx="9">
                <c:v>0.98768834059513777</c:v>
              </c:pt>
              <c:pt idx="10">
                <c:v>0.98480775301220802</c:v>
              </c:pt>
              <c:pt idx="11">
                <c:v>0.98162718344766398</c:v>
              </c:pt>
              <c:pt idx="12">
                <c:v>0.97814760073380569</c:v>
              </c:pt>
              <c:pt idx="13">
                <c:v>0.97437006478523525</c:v>
              </c:pt>
              <c:pt idx="14">
                <c:v>0.97029572627599647</c:v>
              </c:pt>
              <c:pt idx="15">
                <c:v>0.96592582628906831</c:v>
              </c:pt>
              <c:pt idx="16">
                <c:v>0.96126169593831889</c:v>
              </c:pt>
              <c:pt idx="17">
                <c:v>0.95630475596303555</c:v>
              </c:pt>
              <c:pt idx="18">
                <c:v>0.95105651629515353</c:v>
              </c:pt>
              <c:pt idx="19">
                <c:v>0.94551857559931685</c:v>
              </c:pt>
              <c:pt idx="20">
                <c:v>0.93969262078590843</c:v>
              </c:pt>
              <c:pt idx="21">
                <c:v>0.93358042649720174</c:v>
              </c:pt>
              <c:pt idx="22">
                <c:v>0.92718385456678742</c:v>
              </c:pt>
              <c:pt idx="23">
                <c:v>0.92050485345244037</c:v>
              </c:pt>
              <c:pt idx="24">
                <c:v>0.91354545764260087</c:v>
              </c:pt>
              <c:pt idx="25">
                <c:v>0.90630778703664994</c:v>
              </c:pt>
              <c:pt idx="26">
                <c:v>0.89879404629916704</c:v>
              </c:pt>
              <c:pt idx="27">
                <c:v>0.8910065241883679</c:v>
              </c:pt>
              <c:pt idx="28">
                <c:v>0.88294759285892699</c:v>
              </c:pt>
              <c:pt idx="29">
                <c:v>0.87461970713939574</c:v>
              </c:pt>
              <c:pt idx="30">
                <c:v>0.86602540378443871</c:v>
              </c:pt>
              <c:pt idx="31">
                <c:v>0.85716730070211233</c:v>
              </c:pt>
              <c:pt idx="32">
                <c:v>0.84804809615642596</c:v>
              </c:pt>
              <c:pt idx="33">
                <c:v>0.83867056794542405</c:v>
              </c:pt>
              <c:pt idx="34">
                <c:v>0.82903757255504174</c:v>
              </c:pt>
              <c:pt idx="35">
                <c:v>0.8191520442889918</c:v>
              </c:pt>
              <c:pt idx="36">
                <c:v>0.80901699437494745</c:v>
              </c:pt>
              <c:pt idx="37">
                <c:v>0.79863551004729283</c:v>
              </c:pt>
              <c:pt idx="38">
                <c:v>0.7880107536067219</c:v>
              </c:pt>
              <c:pt idx="39">
                <c:v>0.7771459614569709</c:v>
              </c:pt>
              <c:pt idx="40">
                <c:v>0.76604444311897801</c:v>
              </c:pt>
              <c:pt idx="41">
                <c:v>0.75470958022277201</c:v>
              </c:pt>
              <c:pt idx="42">
                <c:v>0.74314482547739424</c:v>
              </c:pt>
              <c:pt idx="43">
                <c:v>0.73135370161917057</c:v>
              </c:pt>
              <c:pt idx="44">
                <c:v>0.71933980033865119</c:v>
              </c:pt>
              <c:pt idx="45">
                <c:v>0.70710678118654757</c:v>
              </c:pt>
              <c:pt idx="46">
                <c:v>0.69465837045899725</c:v>
              </c:pt>
              <c:pt idx="47">
                <c:v>0.68199836006249848</c:v>
              </c:pt>
              <c:pt idx="48">
                <c:v>0.66913060635885824</c:v>
              </c:pt>
              <c:pt idx="49">
                <c:v>0.65605902899050728</c:v>
              </c:pt>
              <c:pt idx="50">
                <c:v>0.64278760968653936</c:v>
              </c:pt>
              <c:pt idx="51">
                <c:v>0.6293203910498375</c:v>
              </c:pt>
              <c:pt idx="52">
                <c:v>0.6156614753256584</c:v>
              </c:pt>
              <c:pt idx="53">
                <c:v>0.60181502315204838</c:v>
              </c:pt>
              <c:pt idx="54">
                <c:v>0.58778525229247314</c:v>
              </c:pt>
              <c:pt idx="55">
                <c:v>0.57357643635104616</c:v>
              </c:pt>
              <c:pt idx="56">
                <c:v>0.55919290347074679</c:v>
              </c:pt>
              <c:pt idx="57">
                <c:v>0.54463903501502708</c:v>
              </c:pt>
              <c:pt idx="58">
                <c:v>0.5299192642332049</c:v>
              </c:pt>
              <c:pt idx="59">
                <c:v>0.51503807491005427</c:v>
              </c:pt>
              <c:pt idx="60">
                <c:v>0.50000000000000011</c:v>
              </c:pt>
              <c:pt idx="61">
                <c:v>0.48480962024633711</c:v>
              </c:pt>
              <c:pt idx="62">
                <c:v>0.46947156278589086</c:v>
              </c:pt>
              <c:pt idx="63">
                <c:v>0.45399049973954686</c:v>
              </c:pt>
              <c:pt idx="64">
                <c:v>0.43837114678907746</c:v>
              </c:pt>
              <c:pt idx="65">
                <c:v>0.42261826174069944</c:v>
              </c:pt>
              <c:pt idx="66">
                <c:v>0.40673664307580021</c:v>
              </c:pt>
              <c:pt idx="67">
                <c:v>0.39073112848927372</c:v>
              </c:pt>
              <c:pt idx="68">
                <c:v>0.37460659341591218</c:v>
              </c:pt>
              <c:pt idx="69">
                <c:v>0.35836794954530038</c:v>
              </c:pt>
              <c:pt idx="70">
                <c:v>0.34202014332566882</c:v>
              </c:pt>
              <c:pt idx="71">
                <c:v>0.32556815445715676</c:v>
              </c:pt>
              <c:pt idx="72">
                <c:v>0.30901699437494745</c:v>
              </c:pt>
              <c:pt idx="73">
                <c:v>0.29237170472273677</c:v>
              </c:pt>
              <c:pt idx="74">
                <c:v>0.27563735581699916</c:v>
              </c:pt>
              <c:pt idx="75">
                <c:v>0.25881904510252074</c:v>
              </c:pt>
              <c:pt idx="76">
                <c:v>0.24192189559966767</c:v>
              </c:pt>
              <c:pt idx="77">
                <c:v>0.22495105434386514</c:v>
              </c:pt>
              <c:pt idx="78">
                <c:v>0.20791169081775945</c:v>
              </c:pt>
              <c:pt idx="79">
                <c:v>0.19080899537654492</c:v>
              </c:pt>
              <c:pt idx="80">
                <c:v>0.17364817766693041</c:v>
              </c:pt>
              <c:pt idx="81">
                <c:v>0.15643446504023092</c:v>
              </c:pt>
              <c:pt idx="82">
                <c:v>0.13917310096006547</c:v>
              </c:pt>
              <c:pt idx="83">
                <c:v>0.12186934340514749</c:v>
              </c:pt>
              <c:pt idx="84">
                <c:v>0.10452846326765346</c:v>
              </c:pt>
              <c:pt idx="85">
                <c:v>8.7155742747658138E-2</c:v>
              </c:pt>
              <c:pt idx="86">
                <c:v>6.9756473744125455E-2</c:v>
              </c:pt>
              <c:pt idx="87">
                <c:v>5.2335956242943966E-2</c:v>
              </c:pt>
              <c:pt idx="88">
                <c:v>3.489949670250108E-2</c:v>
              </c:pt>
              <c:pt idx="89">
                <c:v>1.7452406437283598E-2</c:v>
              </c:pt>
              <c:pt idx="90">
                <c:v>6.123233995736766E-17</c:v>
              </c:pt>
              <c:pt idx="91">
                <c:v>-1.7452406437283477E-2</c:v>
              </c:pt>
              <c:pt idx="92">
                <c:v>-3.4899496702500955E-2</c:v>
              </c:pt>
              <c:pt idx="93">
                <c:v>-5.2335956242943842E-2</c:v>
              </c:pt>
              <c:pt idx="94">
                <c:v>-6.975647374412533E-2</c:v>
              </c:pt>
              <c:pt idx="95">
                <c:v>-8.7155742747658013E-2</c:v>
              </c:pt>
              <c:pt idx="96">
                <c:v>-0.10452846326765333</c:v>
              </c:pt>
              <c:pt idx="97">
                <c:v>-0.12186934340514737</c:v>
              </c:pt>
              <c:pt idx="98">
                <c:v>-0.13917310096006535</c:v>
              </c:pt>
              <c:pt idx="99">
                <c:v>-0.15643446504023081</c:v>
              </c:pt>
              <c:pt idx="100">
                <c:v>-0.1736481776669303</c:v>
              </c:pt>
              <c:pt idx="101">
                <c:v>-0.1908089953765448</c:v>
              </c:pt>
              <c:pt idx="102">
                <c:v>-0.20791169081775934</c:v>
              </c:pt>
              <c:pt idx="103">
                <c:v>-0.22495105434386503</c:v>
              </c:pt>
              <c:pt idx="104">
                <c:v>-0.24192189559966756</c:v>
              </c:pt>
              <c:pt idx="105">
                <c:v>-0.25881904510252063</c:v>
              </c:pt>
              <c:pt idx="106">
                <c:v>-0.27563735581699905</c:v>
              </c:pt>
              <c:pt idx="107">
                <c:v>-0.29237170472273666</c:v>
              </c:pt>
              <c:pt idx="108">
                <c:v>-0.30901699437494734</c:v>
              </c:pt>
              <c:pt idx="109">
                <c:v>-0.32556815445715664</c:v>
              </c:pt>
              <c:pt idx="110">
                <c:v>-0.34202014332566871</c:v>
              </c:pt>
              <c:pt idx="111">
                <c:v>-0.35836794954530027</c:v>
              </c:pt>
              <c:pt idx="112">
                <c:v>-0.37460659341591207</c:v>
              </c:pt>
              <c:pt idx="113">
                <c:v>-0.3907311284892736</c:v>
              </c:pt>
              <c:pt idx="114">
                <c:v>-0.4067366430758001</c:v>
              </c:pt>
              <c:pt idx="115">
                <c:v>-0.42261826174069933</c:v>
              </c:pt>
              <c:pt idx="116">
                <c:v>-0.43837114678907751</c:v>
              </c:pt>
              <c:pt idx="117">
                <c:v>-0.45399049973954669</c:v>
              </c:pt>
              <c:pt idx="118">
                <c:v>-0.46947156278589053</c:v>
              </c:pt>
              <c:pt idx="119">
                <c:v>-0.484809620246337</c:v>
              </c:pt>
              <c:pt idx="120">
                <c:v>-0.49999999999999978</c:v>
              </c:pt>
              <c:pt idx="121">
                <c:v>-0.51503807491005427</c:v>
              </c:pt>
              <c:pt idx="122">
                <c:v>-0.52991926423320479</c:v>
              </c:pt>
              <c:pt idx="123">
                <c:v>-0.54463903501502708</c:v>
              </c:pt>
              <c:pt idx="124">
                <c:v>-0.55919290347074668</c:v>
              </c:pt>
              <c:pt idx="125">
                <c:v>-0.57357643635104616</c:v>
              </c:pt>
              <c:pt idx="126">
                <c:v>-0.58778525229247303</c:v>
              </c:pt>
              <c:pt idx="127">
                <c:v>-0.60181502315204805</c:v>
              </c:pt>
              <c:pt idx="128">
                <c:v>-0.61566147532565829</c:v>
              </c:pt>
              <c:pt idx="129">
                <c:v>-0.62932039104983728</c:v>
              </c:pt>
              <c:pt idx="130">
                <c:v>-0.64278760968653936</c:v>
              </c:pt>
              <c:pt idx="131">
                <c:v>-0.65605902899050716</c:v>
              </c:pt>
              <c:pt idx="132">
                <c:v>-0.66913060635885824</c:v>
              </c:pt>
              <c:pt idx="133">
                <c:v>-0.68199836006249837</c:v>
              </c:pt>
              <c:pt idx="134">
                <c:v>-0.69465837045899737</c:v>
              </c:pt>
              <c:pt idx="135">
                <c:v>-0.70710678118654746</c:v>
              </c:pt>
              <c:pt idx="136">
                <c:v>-0.71933980033865097</c:v>
              </c:pt>
              <c:pt idx="137">
                <c:v>-0.73135370161917046</c:v>
              </c:pt>
              <c:pt idx="138">
                <c:v>-0.74314482547739413</c:v>
              </c:pt>
              <c:pt idx="139">
                <c:v>-0.75470958022277201</c:v>
              </c:pt>
              <c:pt idx="140">
                <c:v>-0.7660444431189779</c:v>
              </c:pt>
              <c:pt idx="141">
                <c:v>-0.7771459614569709</c:v>
              </c:pt>
              <c:pt idx="142">
                <c:v>-0.7880107536067219</c:v>
              </c:pt>
              <c:pt idx="143">
                <c:v>-0.79863551004729294</c:v>
              </c:pt>
              <c:pt idx="144">
                <c:v>-0.80901699437494734</c:v>
              </c:pt>
              <c:pt idx="145">
                <c:v>-0.81915204428899158</c:v>
              </c:pt>
              <c:pt idx="146">
                <c:v>-0.82903757255504162</c:v>
              </c:pt>
              <c:pt idx="147">
                <c:v>-0.83867056794542394</c:v>
              </c:pt>
              <c:pt idx="148">
                <c:v>-0.84804809615642596</c:v>
              </c:pt>
              <c:pt idx="149">
                <c:v>-0.85716730070211222</c:v>
              </c:pt>
              <c:pt idx="150">
                <c:v>-0.86602540378443871</c:v>
              </c:pt>
              <c:pt idx="151">
                <c:v>-0.87461970713939574</c:v>
              </c:pt>
              <c:pt idx="152">
                <c:v>-0.88294759285892699</c:v>
              </c:pt>
              <c:pt idx="153">
                <c:v>-0.89100652418836779</c:v>
              </c:pt>
              <c:pt idx="154">
                <c:v>-0.89879404629916682</c:v>
              </c:pt>
              <c:pt idx="155">
                <c:v>-0.90630778703664994</c:v>
              </c:pt>
              <c:pt idx="156">
                <c:v>-0.91354545764260076</c:v>
              </c:pt>
              <c:pt idx="157">
                <c:v>-0.92050485345244037</c:v>
              </c:pt>
              <c:pt idx="158">
                <c:v>-0.92718385456678731</c:v>
              </c:pt>
              <c:pt idx="159">
                <c:v>-0.93358042649720174</c:v>
              </c:pt>
              <c:pt idx="160">
                <c:v>-0.93969262078590832</c:v>
              </c:pt>
              <c:pt idx="161">
                <c:v>-0.94551857559931685</c:v>
              </c:pt>
              <c:pt idx="162">
                <c:v>-0.95105651629515353</c:v>
              </c:pt>
              <c:pt idx="163">
                <c:v>-0.95630475596303544</c:v>
              </c:pt>
              <c:pt idx="164">
                <c:v>-0.96126169593831889</c:v>
              </c:pt>
              <c:pt idx="165">
                <c:v>-0.9659258262890682</c:v>
              </c:pt>
              <c:pt idx="166">
                <c:v>-0.97029572627599647</c:v>
              </c:pt>
              <c:pt idx="167">
                <c:v>-0.97437006478523513</c:v>
              </c:pt>
              <c:pt idx="168">
                <c:v>-0.97814760073380569</c:v>
              </c:pt>
              <c:pt idx="169">
                <c:v>-0.98162718344766398</c:v>
              </c:pt>
              <c:pt idx="170">
                <c:v>-0.98480775301220802</c:v>
              </c:pt>
              <c:pt idx="171">
                <c:v>-0.98768834059513766</c:v>
              </c:pt>
              <c:pt idx="172">
                <c:v>-0.99026806874157025</c:v>
              </c:pt>
              <c:pt idx="173">
                <c:v>-0.99254615164132198</c:v>
              </c:pt>
              <c:pt idx="174">
                <c:v>-0.99452189536827329</c:v>
              </c:pt>
              <c:pt idx="175">
                <c:v>-0.99619469809174555</c:v>
              </c:pt>
              <c:pt idx="176">
                <c:v>-0.9975640502598242</c:v>
              </c:pt>
              <c:pt idx="177">
                <c:v>-0.99862953475457383</c:v>
              </c:pt>
              <c:pt idx="178">
                <c:v>-0.99939082701909576</c:v>
              </c:pt>
              <c:pt idx="179">
                <c:v>-0.99984769515639127</c:v>
              </c:pt>
              <c:pt idx="180">
                <c:v>-1</c:v>
              </c:pt>
              <c:pt idx="181">
                <c:v>-0.99984769515639127</c:v>
              </c:pt>
              <c:pt idx="182">
                <c:v>-0.99939082701909576</c:v>
              </c:pt>
              <c:pt idx="183">
                <c:v>-0.99862953475457383</c:v>
              </c:pt>
              <c:pt idx="184">
                <c:v>-0.9975640502598242</c:v>
              </c:pt>
              <c:pt idx="185">
                <c:v>-0.99619469809174555</c:v>
              </c:pt>
              <c:pt idx="186">
                <c:v>-0.99452189536827329</c:v>
              </c:pt>
              <c:pt idx="187">
                <c:v>-0.99254615164132209</c:v>
              </c:pt>
              <c:pt idx="188">
                <c:v>-0.99026806874157025</c:v>
              </c:pt>
              <c:pt idx="189">
                <c:v>-0.98768834059513777</c:v>
              </c:pt>
              <c:pt idx="190">
                <c:v>-0.98480775301220813</c:v>
              </c:pt>
              <c:pt idx="191">
                <c:v>-0.98162718344766398</c:v>
              </c:pt>
              <c:pt idx="192">
                <c:v>-0.97814760073380569</c:v>
              </c:pt>
              <c:pt idx="193">
                <c:v>-0.97437006478523525</c:v>
              </c:pt>
              <c:pt idx="194">
                <c:v>-0.97029572627599647</c:v>
              </c:pt>
              <c:pt idx="195">
                <c:v>-0.96592582628906831</c:v>
              </c:pt>
              <c:pt idx="196">
                <c:v>-0.96126169593831889</c:v>
              </c:pt>
              <c:pt idx="197">
                <c:v>-0.95630475596303544</c:v>
              </c:pt>
              <c:pt idx="198">
                <c:v>-0.95105651629515364</c:v>
              </c:pt>
              <c:pt idx="199">
                <c:v>-0.94551857559931696</c:v>
              </c:pt>
              <c:pt idx="200">
                <c:v>-0.93969262078590843</c:v>
              </c:pt>
              <c:pt idx="201">
                <c:v>-0.93358042649720185</c:v>
              </c:pt>
              <c:pt idx="202">
                <c:v>-0.92718385456678742</c:v>
              </c:pt>
              <c:pt idx="203">
                <c:v>-0.92050485345244037</c:v>
              </c:pt>
              <c:pt idx="204">
                <c:v>-0.91354545764260087</c:v>
              </c:pt>
              <c:pt idx="205">
                <c:v>-0.90630778703665005</c:v>
              </c:pt>
              <c:pt idx="206">
                <c:v>-0.89879404629916693</c:v>
              </c:pt>
              <c:pt idx="207">
                <c:v>-0.8910065241883679</c:v>
              </c:pt>
              <c:pt idx="208">
                <c:v>-0.8829475928589271</c:v>
              </c:pt>
              <c:pt idx="209">
                <c:v>-0.87461970713939585</c:v>
              </c:pt>
              <c:pt idx="210">
                <c:v>-0.86602540378443882</c:v>
              </c:pt>
              <c:pt idx="211">
                <c:v>-0.85716730070211233</c:v>
              </c:pt>
              <c:pt idx="212">
                <c:v>-0.84804809615642607</c:v>
              </c:pt>
              <c:pt idx="213">
                <c:v>-0.83867056794542405</c:v>
              </c:pt>
              <c:pt idx="214">
                <c:v>-0.82903757255504174</c:v>
              </c:pt>
              <c:pt idx="215">
                <c:v>-0.8191520442889918</c:v>
              </c:pt>
              <c:pt idx="216">
                <c:v>-0.80901699437494745</c:v>
              </c:pt>
              <c:pt idx="217">
                <c:v>-0.79863551004729305</c:v>
              </c:pt>
              <c:pt idx="218">
                <c:v>-0.78801075360672201</c:v>
              </c:pt>
              <c:pt idx="219">
                <c:v>-0.77714596145697112</c:v>
              </c:pt>
              <c:pt idx="220">
                <c:v>-0.76604444311897801</c:v>
              </c:pt>
              <c:pt idx="221">
                <c:v>-0.75470958022277213</c:v>
              </c:pt>
              <c:pt idx="222">
                <c:v>-0.74314482547739424</c:v>
              </c:pt>
              <c:pt idx="223">
                <c:v>-0.73135370161917057</c:v>
              </c:pt>
              <c:pt idx="224">
                <c:v>-0.71933980033865108</c:v>
              </c:pt>
              <c:pt idx="225">
                <c:v>-0.70710678118654768</c:v>
              </c:pt>
              <c:pt idx="226">
                <c:v>-0.69465837045899748</c:v>
              </c:pt>
              <c:pt idx="227">
                <c:v>-0.68199836006249859</c:v>
              </c:pt>
              <c:pt idx="228">
                <c:v>-0.66913060635885846</c:v>
              </c:pt>
              <c:pt idx="229">
                <c:v>-0.65605902899050728</c:v>
              </c:pt>
              <c:pt idx="230">
                <c:v>-0.64278760968653947</c:v>
              </c:pt>
              <c:pt idx="231">
                <c:v>-0.62932039104983784</c:v>
              </c:pt>
              <c:pt idx="232">
                <c:v>-0.61566147532565807</c:v>
              </c:pt>
              <c:pt idx="233">
                <c:v>-0.60181502315204827</c:v>
              </c:pt>
              <c:pt idx="234">
                <c:v>-0.58778525229247325</c:v>
              </c:pt>
              <c:pt idx="235">
                <c:v>-0.57357643635104638</c:v>
              </c:pt>
              <c:pt idx="236">
                <c:v>-0.55919290347074724</c:v>
              </c:pt>
              <c:pt idx="237">
                <c:v>-0.54463903501502697</c:v>
              </c:pt>
              <c:pt idx="238">
                <c:v>-0.52991926423320501</c:v>
              </c:pt>
              <c:pt idx="239">
                <c:v>-0.51503807491005438</c:v>
              </c:pt>
              <c:pt idx="240">
                <c:v>-0.50000000000000044</c:v>
              </c:pt>
              <c:pt idx="241">
                <c:v>-0.48480962024633684</c:v>
              </c:pt>
              <c:pt idx="242">
                <c:v>-0.46947156278589075</c:v>
              </c:pt>
              <c:pt idx="243">
                <c:v>-0.45399049973954692</c:v>
              </c:pt>
              <c:pt idx="244">
                <c:v>-0.43837114678907774</c:v>
              </c:pt>
              <c:pt idx="245">
                <c:v>-0.42261826174069994</c:v>
              </c:pt>
              <c:pt idx="246">
                <c:v>-0.4067366430758001</c:v>
              </c:pt>
              <c:pt idx="247">
                <c:v>-0.39073112848927383</c:v>
              </c:pt>
              <c:pt idx="248">
                <c:v>-0.37460659341591229</c:v>
              </c:pt>
              <c:pt idx="249">
                <c:v>-0.35836794954530071</c:v>
              </c:pt>
              <c:pt idx="250">
                <c:v>-0.34202014332566855</c:v>
              </c:pt>
              <c:pt idx="251">
                <c:v>-0.32556815445715664</c:v>
              </c:pt>
              <c:pt idx="252">
                <c:v>-0.30901699437494756</c:v>
              </c:pt>
              <c:pt idx="253">
                <c:v>-0.2923717047227371</c:v>
              </c:pt>
              <c:pt idx="254">
                <c:v>-0.27563735581699972</c:v>
              </c:pt>
              <c:pt idx="255">
                <c:v>-0.25881904510252063</c:v>
              </c:pt>
              <c:pt idx="256">
                <c:v>-0.24192189559966779</c:v>
              </c:pt>
              <c:pt idx="257">
                <c:v>-0.22495105434386525</c:v>
              </c:pt>
              <c:pt idx="258">
                <c:v>-0.20791169081775979</c:v>
              </c:pt>
              <c:pt idx="259">
                <c:v>-0.19080899537654461</c:v>
              </c:pt>
              <c:pt idx="260">
                <c:v>-0.17364817766693033</c:v>
              </c:pt>
              <c:pt idx="261">
                <c:v>-0.15643446504023104</c:v>
              </c:pt>
              <c:pt idx="262">
                <c:v>-0.13917310096006583</c:v>
              </c:pt>
              <c:pt idx="263">
                <c:v>-0.12186934340514805</c:v>
              </c:pt>
              <c:pt idx="264">
                <c:v>-0.10452846326765336</c:v>
              </c:pt>
              <c:pt idx="265">
                <c:v>-8.7155742747658249E-2</c:v>
              </c:pt>
              <c:pt idx="266">
                <c:v>-6.975647374412558E-2</c:v>
              </c:pt>
              <c:pt idx="267">
                <c:v>-5.2335956242944306E-2</c:v>
              </c:pt>
              <c:pt idx="268">
                <c:v>-3.4899496702500761E-2</c:v>
              </c:pt>
              <c:pt idx="269">
                <c:v>-1.7452406437283498E-2</c:v>
              </c:pt>
              <c:pt idx="270">
                <c:v>-1.8369701987210297E-16</c:v>
              </c:pt>
              <c:pt idx="271">
                <c:v>1.745240643728313E-2</c:v>
              </c:pt>
              <c:pt idx="272">
                <c:v>3.4899496702500393E-2</c:v>
              </c:pt>
              <c:pt idx="273">
                <c:v>5.2335956242943946E-2</c:v>
              </c:pt>
              <c:pt idx="274">
                <c:v>6.9756473744125219E-2</c:v>
              </c:pt>
              <c:pt idx="275">
                <c:v>8.7155742747657888E-2</c:v>
              </c:pt>
              <c:pt idx="276">
                <c:v>0.10452846326765299</c:v>
              </c:pt>
              <c:pt idx="277">
                <c:v>0.12186934340514768</c:v>
              </c:pt>
              <c:pt idx="278">
                <c:v>0.13917310096006547</c:v>
              </c:pt>
              <c:pt idx="279">
                <c:v>0.15643446504023067</c:v>
              </c:pt>
              <c:pt idx="280">
                <c:v>0.17364817766692997</c:v>
              </c:pt>
              <c:pt idx="281">
                <c:v>0.19080899537654425</c:v>
              </c:pt>
              <c:pt idx="282">
                <c:v>0.20791169081775943</c:v>
              </c:pt>
              <c:pt idx="283">
                <c:v>0.22495105434386492</c:v>
              </c:pt>
              <c:pt idx="284">
                <c:v>0.24192189559966742</c:v>
              </c:pt>
              <c:pt idx="285">
                <c:v>0.2588190451025203</c:v>
              </c:pt>
              <c:pt idx="286">
                <c:v>0.27563735581699939</c:v>
              </c:pt>
              <c:pt idx="287">
                <c:v>0.29237170472273671</c:v>
              </c:pt>
              <c:pt idx="288">
                <c:v>0.30901699437494723</c:v>
              </c:pt>
              <c:pt idx="289">
                <c:v>0.32556815445715631</c:v>
              </c:pt>
              <c:pt idx="290">
                <c:v>0.34202014332566816</c:v>
              </c:pt>
              <c:pt idx="291">
                <c:v>0.35836794954530038</c:v>
              </c:pt>
              <c:pt idx="292">
                <c:v>0.37460659341591196</c:v>
              </c:pt>
              <c:pt idx="293">
                <c:v>0.39073112848927349</c:v>
              </c:pt>
              <c:pt idx="294">
                <c:v>0.40673664307579976</c:v>
              </c:pt>
              <c:pt idx="295">
                <c:v>0.42261826174069961</c:v>
              </c:pt>
              <c:pt idx="296">
                <c:v>0.4383711467890774</c:v>
              </c:pt>
              <c:pt idx="297">
                <c:v>0.45399049973954664</c:v>
              </c:pt>
              <c:pt idx="298">
                <c:v>0.46947156278589042</c:v>
              </c:pt>
              <c:pt idx="299">
                <c:v>0.4848096202463365</c:v>
              </c:pt>
              <c:pt idx="300">
                <c:v>0.50000000000000011</c:v>
              </c:pt>
              <c:pt idx="301">
                <c:v>0.51503807491005416</c:v>
              </c:pt>
              <c:pt idx="302">
                <c:v>0.52991926423320468</c:v>
              </c:pt>
              <c:pt idx="303">
                <c:v>0.54463903501502664</c:v>
              </c:pt>
              <c:pt idx="304">
                <c:v>0.55919290347074702</c:v>
              </c:pt>
              <c:pt idx="305">
                <c:v>0.57357643635104605</c:v>
              </c:pt>
              <c:pt idx="306">
                <c:v>0.58778525229247292</c:v>
              </c:pt>
              <c:pt idx="307">
                <c:v>0.60181502315204793</c:v>
              </c:pt>
              <c:pt idx="308">
                <c:v>0.61566147532565785</c:v>
              </c:pt>
              <c:pt idx="309">
                <c:v>0.6293203910498375</c:v>
              </c:pt>
              <c:pt idx="310">
                <c:v>0.64278760968653925</c:v>
              </c:pt>
              <c:pt idx="311">
                <c:v>0.65605902899050705</c:v>
              </c:pt>
              <c:pt idx="312">
                <c:v>0.66913060635885779</c:v>
              </c:pt>
              <c:pt idx="313">
                <c:v>0.68199836006249859</c:v>
              </c:pt>
              <c:pt idx="314">
                <c:v>0.69465837045899725</c:v>
              </c:pt>
              <c:pt idx="315">
                <c:v>0.70710678118654735</c:v>
              </c:pt>
              <c:pt idx="316">
                <c:v>0.71933980033865086</c:v>
              </c:pt>
              <c:pt idx="317">
                <c:v>0.73135370161917013</c:v>
              </c:pt>
              <c:pt idx="318">
                <c:v>0.74314482547739424</c:v>
              </c:pt>
              <c:pt idx="319">
                <c:v>0.7547095802227719</c:v>
              </c:pt>
              <c:pt idx="320">
                <c:v>0.76604444311897779</c:v>
              </c:pt>
              <c:pt idx="321">
                <c:v>0.77714596145697057</c:v>
              </c:pt>
              <c:pt idx="322">
                <c:v>0.78801075360672201</c:v>
              </c:pt>
              <c:pt idx="323">
                <c:v>0.79863551004729283</c:v>
              </c:pt>
              <c:pt idx="324">
                <c:v>0.80901699437494734</c:v>
              </c:pt>
              <c:pt idx="325">
                <c:v>0.81915204428899158</c:v>
              </c:pt>
              <c:pt idx="326">
                <c:v>0.8290375725550414</c:v>
              </c:pt>
              <c:pt idx="327">
                <c:v>0.83867056794542405</c:v>
              </c:pt>
              <c:pt idx="328">
                <c:v>0.84804809615642585</c:v>
              </c:pt>
              <c:pt idx="329">
                <c:v>0.85716730070211211</c:v>
              </c:pt>
              <c:pt idx="330">
                <c:v>0.86602540378443837</c:v>
              </c:pt>
              <c:pt idx="331">
                <c:v>0.87461970713939585</c:v>
              </c:pt>
              <c:pt idx="332">
                <c:v>0.88294759285892699</c:v>
              </c:pt>
              <c:pt idx="333">
                <c:v>0.89100652418836779</c:v>
              </c:pt>
              <c:pt idx="334">
                <c:v>0.89879404629916682</c:v>
              </c:pt>
              <c:pt idx="335">
                <c:v>0.90630778703664971</c:v>
              </c:pt>
              <c:pt idx="336">
                <c:v>0.91354545764260098</c:v>
              </c:pt>
              <c:pt idx="337">
                <c:v>0.92050485345244026</c:v>
              </c:pt>
              <c:pt idx="338">
                <c:v>0.92718385456678731</c:v>
              </c:pt>
              <c:pt idx="339">
                <c:v>0.93358042649720152</c:v>
              </c:pt>
              <c:pt idx="340">
                <c:v>0.93969262078590843</c:v>
              </c:pt>
              <c:pt idx="341">
                <c:v>0.94551857559931685</c:v>
              </c:pt>
              <c:pt idx="342">
                <c:v>0.95105651629515353</c:v>
              </c:pt>
              <c:pt idx="343">
                <c:v>0.95630475596303532</c:v>
              </c:pt>
              <c:pt idx="344">
                <c:v>0.96126169593831867</c:v>
              </c:pt>
              <c:pt idx="345">
                <c:v>0.96592582628906831</c:v>
              </c:pt>
              <c:pt idx="346">
                <c:v>0.97029572627599647</c:v>
              </c:pt>
              <c:pt idx="347">
                <c:v>0.97437006478523513</c:v>
              </c:pt>
              <c:pt idx="348">
                <c:v>0.97814760073380558</c:v>
              </c:pt>
              <c:pt idx="349">
                <c:v>0.98162718344766398</c:v>
              </c:pt>
              <c:pt idx="350">
                <c:v>0.98480775301220802</c:v>
              </c:pt>
              <c:pt idx="351">
                <c:v>0.98768834059513766</c:v>
              </c:pt>
              <c:pt idx="352">
                <c:v>0.99026806874157025</c:v>
              </c:pt>
              <c:pt idx="353">
                <c:v>0.99254615164132198</c:v>
              </c:pt>
              <c:pt idx="354">
                <c:v>0.99452189536827329</c:v>
              </c:pt>
              <c:pt idx="355">
                <c:v>0.99619469809174555</c:v>
              </c:pt>
              <c:pt idx="356">
                <c:v>0.9975640502598242</c:v>
              </c:pt>
              <c:pt idx="357">
                <c:v>0.99862953475457383</c:v>
              </c:pt>
              <c:pt idx="358">
                <c:v>0.99939082701909576</c:v>
              </c:pt>
              <c:pt idx="359">
                <c:v>0.99984769515639127</c:v>
              </c:pt>
            </c:numLit>
          </c:xVal>
          <c:yVal>
            <c:numLit>
              <c:formatCode>General</c:formatCode>
              <c:ptCount val="360"/>
              <c:pt idx="0">
                <c:v>3</c:v>
              </c:pt>
              <c:pt idx="1">
                <c:v>3.0174524064372834</c:v>
              </c:pt>
              <c:pt idx="2">
                <c:v>3.0348994967025011</c:v>
              </c:pt>
              <c:pt idx="3">
                <c:v>3.0523359562429437</c:v>
              </c:pt>
              <c:pt idx="4">
                <c:v>3.0697564737441252</c:v>
              </c:pt>
              <c:pt idx="5">
                <c:v>3.0871557427476581</c:v>
              </c:pt>
              <c:pt idx="6">
                <c:v>3.1045284632676533</c:v>
              </c:pt>
              <c:pt idx="7">
                <c:v>3.1218693434051477</c:v>
              </c:pt>
              <c:pt idx="8">
                <c:v>3.1391731009600656</c:v>
              </c:pt>
              <c:pt idx="9">
                <c:v>3.1564344650402307</c:v>
              </c:pt>
              <c:pt idx="10">
                <c:v>3.1736481776669305</c:v>
              </c:pt>
              <c:pt idx="11">
                <c:v>3.1908089953765448</c:v>
              </c:pt>
              <c:pt idx="12">
                <c:v>3.2079116908177592</c:v>
              </c:pt>
              <c:pt idx="13">
                <c:v>3.2249510543438649</c:v>
              </c:pt>
              <c:pt idx="14">
                <c:v>3.2419218955996678</c:v>
              </c:pt>
              <c:pt idx="15">
                <c:v>3.2588190451025207</c:v>
              </c:pt>
              <c:pt idx="16">
                <c:v>3.2756373558169991</c:v>
              </c:pt>
              <c:pt idx="17">
                <c:v>3.2923717047227368</c:v>
              </c:pt>
              <c:pt idx="18">
                <c:v>3.3090169943749475</c:v>
              </c:pt>
              <c:pt idx="19">
                <c:v>3.3255681544571569</c:v>
              </c:pt>
              <c:pt idx="20">
                <c:v>3.3420201433256689</c:v>
              </c:pt>
              <c:pt idx="21">
                <c:v>3.3583679495453005</c:v>
              </c:pt>
              <c:pt idx="22">
                <c:v>3.374606593415912</c:v>
              </c:pt>
              <c:pt idx="23">
                <c:v>3.3907311284892736</c:v>
              </c:pt>
              <c:pt idx="24">
                <c:v>3.4067366430758002</c:v>
              </c:pt>
              <c:pt idx="25">
                <c:v>3.4226182617406993</c:v>
              </c:pt>
              <c:pt idx="26">
                <c:v>3.4383711467890774</c:v>
              </c:pt>
              <c:pt idx="27">
                <c:v>3.4539904997395467</c:v>
              </c:pt>
              <c:pt idx="28">
                <c:v>3.4694715627858908</c:v>
              </c:pt>
              <c:pt idx="29">
                <c:v>3.4848096202463372</c:v>
              </c:pt>
              <c:pt idx="30">
                <c:v>3.5</c:v>
              </c:pt>
              <c:pt idx="31">
                <c:v>3.5150380749100543</c:v>
              </c:pt>
              <c:pt idx="32">
                <c:v>3.5299192642332047</c:v>
              </c:pt>
              <c:pt idx="33">
                <c:v>3.544639035015027</c:v>
              </c:pt>
              <c:pt idx="34">
                <c:v>3.5591929034707466</c:v>
              </c:pt>
              <c:pt idx="35">
                <c:v>3.573576436351046</c:v>
              </c:pt>
              <c:pt idx="36">
                <c:v>3.5877852522924734</c:v>
              </c:pt>
              <c:pt idx="37">
                <c:v>3.6018150231520485</c:v>
              </c:pt>
              <c:pt idx="38">
                <c:v>3.6156614753256582</c:v>
              </c:pt>
              <c:pt idx="39">
                <c:v>3.6293203910498373</c:v>
              </c:pt>
              <c:pt idx="40">
                <c:v>3.6427876096865393</c:v>
              </c:pt>
              <c:pt idx="41">
                <c:v>3.6560590289905073</c:v>
              </c:pt>
              <c:pt idx="42">
                <c:v>3.6691306063588582</c:v>
              </c:pt>
              <c:pt idx="43">
                <c:v>3.6819983600624986</c:v>
              </c:pt>
              <c:pt idx="44">
                <c:v>3.6946583704589973</c:v>
              </c:pt>
              <c:pt idx="45">
                <c:v>3.7071067811865475</c:v>
              </c:pt>
              <c:pt idx="46">
                <c:v>3.7193398003386511</c:v>
              </c:pt>
              <c:pt idx="47">
                <c:v>3.7313537016191702</c:v>
              </c:pt>
              <c:pt idx="48">
                <c:v>3.743144825477394</c:v>
              </c:pt>
              <c:pt idx="49">
                <c:v>3.7547095802227721</c:v>
              </c:pt>
              <c:pt idx="50">
                <c:v>3.7660444431189779</c:v>
              </c:pt>
              <c:pt idx="51">
                <c:v>3.7771459614569709</c:v>
              </c:pt>
              <c:pt idx="52">
                <c:v>3.7880107536067218</c:v>
              </c:pt>
              <c:pt idx="53">
                <c:v>3.7986355100472928</c:v>
              </c:pt>
              <c:pt idx="54">
                <c:v>3.8090169943749475</c:v>
              </c:pt>
              <c:pt idx="55">
                <c:v>3.8191520442889919</c:v>
              </c:pt>
              <c:pt idx="56">
                <c:v>3.8290375725550416</c:v>
              </c:pt>
              <c:pt idx="57">
                <c:v>3.8386705679454241</c:v>
              </c:pt>
              <c:pt idx="58">
                <c:v>3.8480480961564263</c:v>
              </c:pt>
              <c:pt idx="59">
                <c:v>3.8571673007021121</c:v>
              </c:pt>
              <c:pt idx="60">
                <c:v>3.8660254037844384</c:v>
              </c:pt>
              <c:pt idx="61">
                <c:v>3.874619707139396</c:v>
              </c:pt>
              <c:pt idx="62">
                <c:v>3.882947592858927</c:v>
              </c:pt>
              <c:pt idx="63">
                <c:v>3.8910065241883678</c:v>
              </c:pt>
              <c:pt idx="64">
                <c:v>3.8987940462991668</c:v>
              </c:pt>
              <c:pt idx="65">
                <c:v>3.90630778703665</c:v>
              </c:pt>
              <c:pt idx="66">
                <c:v>3.9135454576426008</c:v>
              </c:pt>
              <c:pt idx="67">
                <c:v>3.9205048534524405</c:v>
              </c:pt>
              <c:pt idx="68">
                <c:v>3.9271838545667874</c:v>
              </c:pt>
              <c:pt idx="69">
                <c:v>3.9335804264972016</c:v>
              </c:pt>
              <c:pt idx="70">
                <c:v>3.9396926207859084</c:v>
              </c:pt>
              <c:pt idx="71">
                <c:v>3.9455185755993165</c:v>
              </c:pt>
              <c:pt idx="72">
                <c:v>3.9510565162951536</c:v>
              </c:pt>
              <c:pt idx="73">
                <c:v>3.9563047559630355</c:v>
              </c:pt>
              <c:pt idx="74">
                <c:v>3.9612616959383189</c:v>
              </c:pt>
              <c:pt idx="75">
                <c:v>3.9659258262890682</c:v>
              </c:pt>
              <c:pt idx="76">
                <c:v>3.9702957262759964</c:v>
              </c:pt>
              <c:pt idx="77">
                <c:v>3.9743700647852354</c:v>
              </c:pt>
              <c:pt idx="78">
                <c:v>3.9781476007338057</c:v>
              </c:pt>
              <c:pt idx="79">
                <c:v>3.9816271834476638</c:v>
              </c:pt>
              <c:pt idx="80">
                <c:v>3.9848077530122081</c:v>
              </c:pt>
              <c:pt idx="81">
                <c:v>3.9876883405951378</c:v>
              </c:pt>
              <c:pt idx="82">
                <c:v>3.9902680687415701</c:v>
              </c:pt>
              <c:pt idx="83">
                <c:v>3.9925461516413221</c:v>
              </c:pt>
              <c:pt idx="84">
                <c:v>3.9945218953682735</c:v>
              </c:pt>
              <c:pt idx="85">
                <c:v>3.9961946980917453</c:v>
              </c:pt>
              <c:pt idx="86">
                <c:v>3.9975640502598244</c:v>
              </c:pt>
              <c:pt idx="87">
                <c:v>3.9986295347545737</c:v>
              </c:pt>
              <c:pt idx="88">
                <c:v>3.9993908270190959</c:v>
              </c:pt>
              <c:pt idx="89">
                <c:v>3.999847695156391</c:v>
              </c:pt>
              <c:pt idx="90">
                <c:v>4</c:v>
              </c:pt>
              <c:pt idx="91">
                <c:v>3.999847695156391</c:v>
              </c:pt>
              <c:pt idx="92">
                <c:v>3.9993908270190959</c:v>
              </c:pt>
              <c:pt idx="93">
                <c:v>3.9986295347545737</c:v>
              </c:pt>
              <c:pt idx="94">
                <c:v>3.9975640502598244</c:v>
              </c:pt>
              <c:pt idx="95">
                <c:v>3.9961946980917453</c:v>
              </c:pt>
              <c:pt idx="96">
                <c:v>3.9945218953682735</c:v>
              </c:pt>
              <c:pt idx="97">
                <c:v>3.9925461516413221</c:v>
              </c:pt>
              <c:pt idx="98">
                <c:v>3.9902680687415701</c:v>
              </c:pt>
              <c:pt idx="99">
                <c:v>3.9876883405951378</c:v>
              </c:pt>
              <c:pt idx="100">
                <c:v>3.9848077530122081</c:v>
              </c:pt>
              <c:pt idx="101">
                <c:v>3.9816271834476638</c:v>
              </c:pt>
              <c:pt idx="102">
                <c:v>3.9781476007338057</c:v>
              </c:pt>
              <c:pt idx="103">
                <c:v>3.9743700647852354</c:v>
              </c:pt>
              <c:pt idx="104">
                <c:v>3.9702957262759964</c:v>
              </c:pt>
              <c:pt idx="105">
                <c:v>3.9659258262890682</c:v>
              </c:pt>
              <c:pt idx="106">
                <c:v>3.9612616959383189</c:v>
              </c:pt>
              <c:pt idx="107">
                <c:v>3.9563047559630355</c:v>
              </c:pt>
              <c:pt idx="108">
                <c:v>3.9510565162951536</c:v>
              </c:pt>
              <c:pt idx="109">
                <c:v>3.945518575599317</c:v>
              </c:pt>
              <c:pt idx="110">
                <c:v>3.9396926207859084</c:v>
              </c:pt>
              <c:pt idx="111">
                <c:v>3.9335804264972016</c:v>
              </c:pt>
              <c:pt idx="112">
                <c:v>3.9271838545667874</c:v>
              </c:pt>
              <c:pt idx="113">
                <c:v>3.9205048534524405</c:v>
              </c:pt>
              <c:pt idx="114">
                <c:v>3.9135454576426012</c:v>
              </c:pt>
              <c:pt idx="115">
                <c:v>3.90630778703665</c:v>
              </c:pt>
              <c:pt idx="116">
                <c:v>3.8987940462991668</c:v>
              </c:pt>
              <c:pt idx="117">
                <c:v>3.8910065241883678</c:v>
              </c:pt>
              <c:pt idx="118">
                <c:v>3.882947592858927</c:v>
              </c:pt>
              <c:pt idx="119">
                <c:v>3.874619707139396</c:v>
              </c:pt>
              <c:pt idx="120">
                <c:v>3.8660254037844388</c:v>
              </c:pt>
              <c:pt idx="121">
                <c:v>3.8571673007021126</c:v>
              </c:pt>
              <c:pt idx="122">
                <c:v>3.8480480961564263</c:v>
              </c:pt>
              <c:pt idx="123">
                <c:v>3.8386705679454241</c:v>
              </c:pt>
              <c:pt idx="124">
                <c:v>3.8290375725550416</c:v>
              </c:pt>
              <c:pt idx="125">
                <c:v>3.8191520442889919</c:v>
              </c:pt>
              <c:pt idx="126">
                <c:v>3.8090169943749475</c:v>
              </c:pt>
              <c:pt idx="127">
                <c:v>3.7986355100472933</c:v>
              </c:pt>
              <c:pt idx="128">
                <c:v>3.7880107536067218</c:v>
              </c:pt>
              <c:pt idx="129">
                <c:v>3.7771459614569709</c:v>
              </c:pt>
              <c:pt idx="130">
                <c:v>3.7660444431189779</c:v>
              </c:pt>
              <c:pt idx="131">
                <c:v>3.7547095802227721</c:v>
              </c:pt>
              <c:pt idx="132">
                <c:v>3.743144825477394</c:v>
              </c:pt>
              <c:pt idx="133">
                <c:v>3.7313537016191707</c:v>
              </c:pt>
              <c:pt idx="134">
                <c:v>3.7193398003386511</c:v>
              </c:pt>
              <c:pt idx="135">
                <c:v>3.7071067811865475</c:v>
              </c:pt>
              <c:pt idx="136">
                <c:v>3.6946583704589973</c:v>
              </c:pt>
              <c:pt idx="137">
                <c:v>3.6819983600624986</c:v>
              </c:pt>
              <c:pt idx="138">
                <c:v>3.6691306063588582</c:v>
              </c:pt>
              <c:pt idx="139">
                <c:v>3.6560590289905073</c:v>
              </c:pt>
              <c:pt idx="140">
                <c:v>3.6427876096865397</c:v>
              </c:pt>
              <c:pt idx="141">
                <c:v>3.6293203910498373</c:v>
              </c:pt>
              <c:pt idx="142">
                <c:v>3.6156614753256582</c:v>
              </c:pt>
              <c:pt idx="143">
                <c:v>3.601815023152048</c:v>
              </c:pt>
              <c:pt idx="144">
                <c:v>3.5877852522924734</c:v>
              </c:pt>
              <c:pt idx="145">
                <c:v>3.5735764363510465</c:v>
              </c:pt>
              <c:pt idx="146">
                <c:v>3.559192903470747</c:v>
              </c:pt>
              <c:pt idx="147">
                <c:v>3.5446390350150274</c:v>
              </c:pt>
              <c:pt idx="148">
                <c:v>3.5299192642332047</c:v>
              </c:pt>
              <c:pt idx="149">
                <c:v>3.5150380749100543</c:v>
              </c:pt>
              <c:pt idx="150">
                <c:v>3.5</c:v>
              </c:pt>
              <c:pt idx="151">
                <c:v>3.4848096202463372</c:v>
              </c:pt>
              <c:pt idx="152">
                <c:v>3.4694715627858908</c:v>
              </c:pt>
              <c:pt idx="153">
                <c:v>3.4539904997395467</c:v>
              </c:pt>
              <c:pt idx="154">
                <c:v>3.4383711467890778</c:v>
              </c:pt>
              <c:pt idx="155">
                <c:v>3.4226182617406993</c:v>
              </c:pt>
              <c:pt idx="156">
                <c:v>3.4067366430758006</c:v>
              </c:pt>
              <c:pt idx="157">
                <c:v>3.3907311284892736</c:v>
              </c:pt>
              <c:pt idx="158">
                <c:v>3.3746065934159124</c:v>
              </c:pt>
              <c:pt idx="159">
                <c:v>3.3583679495453</c:v>
              </c:pt>
              <c:pt idx="160">
                <c:v>3.3420201433256689</c:v>
              </c:pt>
              <c:pt idx="161">
                <c:v>3.3255681544571565</c:v>
              </c:pt>
              <c:pt idx="162">
                <c:v>3.3090169943749475</c:v>
              </c:pt>
              <c:pt idx="163">
                <c:v>3.2923717047227372</c:v>
              </c:pt>
              <c:pt idx="164">
                <c:v>3.2756373558169991</c:v>
              </c:pt>
              <c:pt idx="165">
                <c:v>3.2588190451025212</c:v>
              </c:pt>
              <c:pt idx="166">
                <c:v>3.2419218955996678</c:v>
              </c:pt>
              <c:pt idx="167">
                <c:v>3.2249510543438653</c:v>
              </c:pt>
              <c:pt idx="168">
                <c:v>3.2079116908177592</c:v>
              </c:pt>
              <c:pt idx="169">
                <c:v>3.1908089953765448</c:v>
              </c:pt>
              <c:pt idx="170">
                <c:v>3.1736481776669301</c:v>
              </c:pt>
              <c:pt idx="171">
                <c:v>3.1564344650402312</c:v>
              </c:pt>
              <c:pt idx="172">
                <c:v>3.1391731009600656</c:v>
              </c:pt>
              <c:pt idx="173">
                <c:v>3.1218693434051477</c:v>
              </c:pt>
              <c:pt idx="174">
                <c:v>3.1045284632676537</c:v>
              </c:pt>
              <c:pt idx="175">
                <c:v>3.0871557427476581</c:v>
              </c:pt>
              <c:pt idx="176">
                <c:v>3.0697564737441256</c:v>
              </c:pt>
              <c:pt idx="177">
                <c:v>3.0523359562429437</c:v>
              </c:pt>
              <c:pt idx="178">
                <c:v>3.0348994967025011</c:v>
              </c:pt>
              <c:pt idx="179">
                <c:v>3.0174524064372834</c:v>
              </c:pt>
              <c:pt idx="180">
                <c:v>3</c:v>
              </c:pt>
              <c:pt idx="181">
                <c:v>2.9825475935627166</c:v>
              </c:pt>
              <c:pt idx="182">
                <c:v>2.9651005032974993</c:v>
              </c:pt>
              <c:pt idx="183">
                <c:v>2.9476640437570563</c:v>
              </c:pt>
              <c:pt idx="184">
                <c:v>2.9302435262558748</c:v>
              </c:pt>
              <c:pt idx="185">
                <c:v>2.9128442572523419</c:v>
              </c:pt>
              <c:pt idx="186">
                <c:v>2.8954715367323467</c:v>
              </c:pt>
              <c:pt idx="187">
                <c:v>2.8781306565948528</c:v>
              </c:pt>
              <c:pt idx="188">
                <c:v>2.8608268990399344</c:v>
              </c:pt>
              <c:pt idx="189">
                <c:v>2.8435655349597693</c:v>
              </c:pt>
              <c:pt idx="190">
                <c:v>2.8263518223330699</c:v>
              </c:pt>
              <c:pt idx="191">
                <c:v>2.8091910046234552</c:v>
              </c:pt>
              <c:pt idx="192">
                <c:v>2.7920883091822408</c:v>
              </c:pt>
              <c:pt idx="193">
                <c:v>2.7750489456561351</c:v>
              </c:pt>
              <c:pt idx="194">
                <c:v>2.7580781044003326</c:v>
              </c:pt>
              <c:pt idx="195">
                <c:v>2.7411809548974793</c:v>
              </c:pt>
              <c:pt idx="196">
                <c:v>2.7243626441830009</c:v>
              </c:pt>
              <c:pt idx="197">
                <c:v>2.7076282952772632</c:v>
              </c:pt>
              <c:pt idx="198">
                <c:v>2.6909830056250525</c:v>
              </c:pt>
              <c:pt idx="199">
                <c:v>2.6744318455428435</c:v>
              </c:pt>
              <c:pt idx="200">
                <c:v>2.6579798566743316</c:v>
              </c:pt>
              <c:pt idx="201">
                <c:v>2.6416320504547</c:v>
              </c:pt>
              <c:pt idx="202">
                <c:v>2.625393406584088</c:v>
              </c:pt>
              <c:pt idx="203">
                <c:v>2.6092688715107264</c:v>
              </c:pt>
              <c:pt idx="204">
                <c:v>2.5932633569241998</c:v>
              </c:pt>
              <c:pt idx="205">
                <c:v>2.5773817382593007</c:v>
              </c:pt>
              <c:pt idx="206">
                <c:v>2.5616288532109226</c:v>
              </c:pt>
              <c:pt idx="207">
                <c:v>2.5460095002604533</c:v>
              </c:pt>
              <c:pt idx="208">
                <c:v>2.5305284372141097</c:v>
              </c:pt>
              <c:pt idx="209">
                <c:v>2.5151903797536632</c:v>
              </c:pt>
              <c:pt idx="210">
                <c:v>2.5000000000000004</c:v>
              </c:pt>
              <c:pt idx="211">
                <c:v>2.4849619250899457</c:v>
              </c:pt>
              <c:pt idx="212">
                <c:v>2.4700807357667953</c:v>
              </c:pt>
              <c:pt idx="213">
                <c:v>2.455360964984973</c:v>
              </c:pt>
              <c:pt idx="214">
                <c:v>2.4408070965292534</c:v>
              </c:pt>
              <c:pt idx="215">
                <c:v>2.426423563648954</c:v>
              </c:pt>
              <c:pt idx="216">
                <c:v>2.4122147477075271</c:v>
              </c:pt>
              <c:pt idx="217">
                <c:v>2.398184976847952</c:v>
              </c:pt>
              <c:pt idx="218">
                <c:v>2.3843385246743418</c:v>
              </c:pt>
              <c:pt idx="219">
                <c:v>2.3706796089501627</c:v>
              </c:pt>
              <c:pt idx="220">
                <c:v>2.3572123903134607</c:v>
              </c:pt>
              <c:pt idx="221">
                <c:v>2.3439409710094932</c:v>
              </c:pt>
              <c:pt idx="222">
                <c:v>2.3308693936411418</c:v>
              </c:pt>
              <c:pt idx="223">
                <c:v>2.3180016399375019</c:v>
              </c:pt>
              <c:pt idx="224">
                <c:v>2.3053416295410027</c:v>
              </c:pt>
              <c:pt idx="225">
                <c:v>2.2928932188134525</c:v>
              </c:pt>
              <c:pt idx="226">
                <c:v>2.2806601996613489</c:v>
              </c:pt>
              <c:pt idx="227">
                <c:v>2.2686462983808298</c:v>
              </c:pt>
              <c:pt idx="228">
                <c:v>2.256855174522606</c:v>
              </c:pt>
              <c:pt idx="229">
                <c:v>2.2452904197772279</c:v>
              </c:pt>
              <c:pt idx="230">
                <c:v>2.2339555568810221</c:v>
              </c:pt>
              <c:pt idx="231">
                <c:v>2.2228540385430295</c:v>
              </c:pt>
              <c:pt idx="232">
                <c:v>2.2119892463932778</c:v>
              </c:pt>
              <c:pt idx="233">
                <c:v>2.2013644899527072</c:v>
              </c:pt>
              <c:pt idx="234">
                <c:v>2.1909830056250525</c:v>
              </c:pt>
              <c:pt idx="235">
                <c:v>2.1808479557110085</c:v>
              </c:pt>
              <c:pt idx="236">
                <c:v>2.1709624274449588</c:v>
              </c:pt>
              <c:pt idx="237">
                <c:v>2.1613294320545759</c:v>
              </c:pt>
              <c:pt idx="238">
                <c:v>2.1519519038435742</c:v>
              </c:pt>
              <c:pt idx="239">
                <c:v>2.1428326992978879</c:v>
              </c:pt>
              <c:pt idx="240">
                <c:v>2.1339745962155616</c:v>
              </c:pt>
              <c:pt idx="241">
                <c:v>2.125380292860604</c:v>
              </c:pt>
              <c:pt idx="242">
                <c:v>2.117052407141073</c:v>
              </c:pt>
              <c:pt idx="243">
                <c:v>2.1089934758116322</c:v>
              </c:pt>
              <c:pt idx="244">
                <c:v>2.1012059537008332</c:v>
              </c:pt>
              <c:pt idx="245">
                <c:v>2.0936922129633504</c:v>
              </c:pt>
              <c:pt idx="246">
                <c:v>2.0864545423573988</c:v>
              </c:pt>
              <c:pt idx="247">
                <c:v>2.0794951465475595</c:v>
              </c:pt>
              <c:pt idx="248">
                <c:v>2.0728161454332126</c:v>
              </c:pt>
              <c:pt idx="249">
                <c:v>2.0664195735027984</c:v>
              </c:pt>
              <c:pt idx="250">
                <c:v>2.0603073792140916</c:v>
              </c:pt>
              <c:pt idx="251">
                <c:v>2.054481424400683</c:v>
              </c:pt>
              <c:pt idx="252">
                <c:v>2.0489434837048464</c:v>
              </c:pt>
              <c:pt idx="253">
                <c:v>2.0436952440369645</c:v>
              </c:pt>
              <c:pt idx="254">
                <c:v>2.0387383040616811</c:v>
              </c:pt>
              <c:pt idx="255">
                <c:v>2.0340741737109318</c:v>
              </c:pt>
              <c:pt idx="256">
                <c:v>2.0297042737240036</c:v>
              </c:pt>
              <c:pt idx="257">
                <c:v>2.0256299352147646</c:v>
              </c:pt>
              <c:pt idx="258">
                <c:v>2.0218523992661943</c:v>
              </c:pt>
              <c:pt idx="259">
                <c:v>2.0183728165523362</c:v>
              </c:pt>
              <c:pt idx="260">
                <c:v>2.0151922469877919</c:v>
              </c:pt>
              <c:pt idx="261">
                <c:v>2.0123116594048622</c:v>
              </c:pt>
              <c:pt idx="262">
                <c:v>2.0097319312584299</c:v>
              </c:pt>
              <c:pt idx="263">
                <c:v>2.0074538483586779</c:v>
              </c:pt>
              <c:pt idx="264">
                <c:v>2.0054781046317265</c:v>
              </c:pt>
              <c:pt idx="265">
                <c:v>2.0038053019082547</c:v>
              </c:pt>
              <c:pt idx="266">
                <c:v>2.0024359497401756</c:v>
              </c:pt>
              <c:pt idx="267">
                <c:v>2.0013704652454263</c:v>
              </c:pt>
              <c:pt idx="268">
                <c:v>2.0006091729809041</c:v>
              </c:pt>
              <c:pt idx="269">
                <c:v>2.000152304843609</c:v>
              </c:pt>
              <c:pt idx="270">
                <c:v>2</c:v>
              </c:pt>
              <c:pt idx="271">
                <c:v>2.000152304843609</c:v>
              </c:pt>
              <c:pt idx="272">
                <c:v>2.0006091729809041</c:v>
              </c:pt>
              <c:pt idx="273">
                <c:v>2.0013704652454263</c:v>
              </c:pt>
              <c:pt idx="274">
                <c:v>2.0024359497401756</c:v>
              </c:pt>
              <c:pt idx="275">
                <c:v>2.0038053019082547</c:v>
              </c:pt>
              <c:pt idx="276">
                <c:v>2.0054781046317265</c:v>
              </c:pt>
              <c:pt idx="277">
                <c:v>2.0074538483586779</c:v>
              </c:pt>
              <c:pt idx="278">
                <c:v>2.0097319312584299</c:v>
              </c:pt>
              <c:pt idx="279">
                <c:v>2.0123116594048622</c:v>
              </c:pt>
              <c:pt idx="280">
                <c:v>2.0151922469877919</c:v>
              </c:pt>
              <c:pt idx="281">
                <c:v>2.0183728165523358</c:v>
              </c:pt>
              <c:pt idx="282">
                <c:v>2.0218523992661943</c:v>
              </c:pt>
              <c:pt idx="283">
                <c:v>2.0256299352147646</c:v>
              </c:pt>
              <c:pt idx="284">
                <c:v>2.0297042737240032</c:v>
              </c:pt>
              <c:pt idx="285">
                <c:v>2.0340741737109314</c:v>
              </c:pt>
              <c:pt idx="286">
                <c:v>2.0387383040616811</c:v>
              </c:pt>
              <c:pt idx="287">
                <c:v>2.0436952440369645</c:v>
              </c:pt>
              <c:pt idx="288">
                <c:v>2.0489434837048464</c:v>
              </c:pt>
              <c:pt idx="289">
                <c:v>2.054481424400683</c:v>
              </c:pt>
              <c:pt idx="290">
                <c:v>2.0603073792140916</c:v>
              </c:pt>
              <c:pt idx="291">
                <c:v>2.0664195735027984</c:v>
              </c:pt>
              <c:pt idx="292">
                <c:v>2.0728161454332126</c:v>
              </c:pt>
              <c:pt idx="293">
                <c:v>2.0794951465475595</c:v>
              </c:pt>
              <c:pt idx="294">
                <c:v>2.0864545423573988</c:v>
              </c:pt>
              <c:pt idx="295">
                <c:v>2.09369221296335</c:v>
              </c:pt>
              <c:pt idx="296">
                <c:v>2.1012059537008332</c:v>
              </c:pt>
              <c:pt idx="297">
                <c:v>2.1089934758116318</c:v>
              </c:pt>
              <c:pt idx="298">
                <c:v>2.117052407141073</c:v>
              </c:pt>
              <c:pt idx="299">
                <c:v>2.125380292860604</c:v>
              </c:pt>
              <c:pt idx="300">
                <c:v>2.1339745962155616</c:v>
              </c:pt>
              <c:pt idx="301">
                <c:v>2.1428326992978874</c:v>
              </c:pt>
              <c:pt idx="302">
                <c:v>2.1519519038435737</c:v>
              </c:pt>
              <c:pt idx="303">
                <c:v>2.1613294320545755</c:v>
              </c:pt>
              <c:pt idx="304">
                <c:v>2.1709624274449584</c:v>
              </c:pt>
              <c:pt idx="305">
                <c:v>2.1808479557110081</c:v>
              </c:pt>
              <c:pt idx="306">
                <c:v>2.1909830056250525</c:v>
              </c:pt>
              <c:pt idx="307">
                <c:v>2.2013644899527067</c:v>
              </c:pt>
              <c:pt idx="308">
                <c:v>2.2119892463932778</c:v>
              </c:pt>
              <c:pt idx="309">
                <c:v>2.2228540385430291</c:v>
              </c:pt>
              <c:pt idx="310">
                <c:v>2.2339555568810221</c:v>
              </c:pt>
              <c:pt idx="311">
                <c:v>2.2452904197772279</c:v>
              </c:pt>
              <c:pt idx="312">
                <c:v>2.2568551745226055</c:v>
              </c:pt>
              <c:pt idx="313">
                <c:v>2.2686462983808298</c:v>
              </c:pt>
              <c:pt idx="314">
                <c:v>2.2806601996613489</c:v>
              </c:pt>
              <c:pt idx="315">
                <c:v>2.2928932188134521</c:v>
              </c:pt>
              <c:pt idx="316">
                <c:v>2.3053416295410023</c:v>
              </c:pt>
              <c:pt idx="317">
                <c:v>2.318001639937501</c:v>
              </c:pt>
              <c:pt idx="318">
                <c:v>2.3308693936411418</c:v>
              </c:pt>
              <c:pt idx="319">
                <c:v>2.3439409710094927</c:v>
              </c:pt>
              <c:pt idx="320">
                <c:v>2.3572123903134603</c:v>
              </c:pt>
              <c:pt idx="321">
                <c:v>2.3706796089501623</c:v>
              </c:pt>
              <c:pt idx="322">
                <c:v>2.3843385246743418</c:v>
              </c:pt>
              <c:pt idx="323">
                <c:v>2.3981849768479515</c:v>
              </c:pt>
              <c:pt idx="324">
                <c:v>2.4122147477075266</c:v>
              </c:pt>
              <c:pt idx="325">
                <c:v>2.4264235636489535</c:v>
              </c:pt>
              <c:pt idx="326">
                <c:v>2.4408070965292525</c:v>
              </c:pt>
              <c:pt idx="327">
                <c:v>2.455360964984973</c:v>
              </c:pt>
              <c:pt idx="328">
                <c:v>2.4700807357667949</c:v>
              </c:pt>
              <c:pt idx="329">
                <c:v>2.4849619250899453</c:v>
              </c:pt>
              <c:pt idx="330">
                <c:v>2.4999999999999996</c:v>
              </c:pt>
              <c:pt idx="331">
                <c:v>2.5151903797536632</c:v>
              </c:pt>
              <c:pt idx="332">
                <c:v>2.5305284372141092</c:v>
              </c:pt>
              <c:pt idx="333">
                <c:v>2.5460095002604533</c:v>
              </c:pt>
              <c:pt idx="334">
                <c:v>2.5616288532109222</c:v>
              </c:pt>
              <c:pt idx="335">
                <c:v>2.5773817382592998</c:v>
              </c:pt>
              <c:pt idx="336">
                <c:v>2.5932633569241998</c:v>
              </c:pt>
              <c:pt idx="337">
                <c:v>2.609268871510726</c:v>
              </c:pt>
              <c:pt idx="338">
                <c:v>2.6253934065840876</c:v>
              </c:pt>
              <c:pt idx="339">
                <c:v>2.6416320504546991</c:v>
              </c:pt>
              <c:pt idx="340">
                <c:v>2.6579798566743316</c:v>
              </c:pt>
              <c:pt idx="341">
                <c:v>2.6744318455428431</c:v>
              </c:pt>
              <c:pt idx="342">
                <c:v>2.6909830056250525</c:v>
              </c:pt>
              <c:pt idx="343">
                <c:v>2.7076282952772628</c:v>
              </c:pt>
              <c:pt idx="344">
                <c:v>2.7243626441830004</c:v>
              </c:pt>
              <c:pt idx="345">
                <c:v>2.7411809548974793</c:v>
              </c:pt>
              <c:pt idx="346">
                <c:v>2.7580781044003322</c:v>
              </c:pt>
              <c:pt idx="347">
                <c:v>2.7750489456561347</c:v>
              </c:pt>
              <c:pt idx="348">
                <c:v>2.7920883091822399</c:v>
              </c:pt>
              <c:pt idx="349">
                <c:v>2.8091910046234552</c:v>
              </c:pt>
              <c:pt idx="350">
                <c:v>2.8263518223330695</c:v>
              </c:pt>
              <c:pt idx="351">
                <c:v>2.8435655349597688</c:v>
              </c:pt>
              <c:pt idx="352">
                <c:v>2.8608268990399339</c:v>
              </c:pt>
              <c:pt idx="353">
                <c:v>2.8781306565948519</c:v>
              </c:pt>
              <c:pt idx="354">
                <c:v>2.8954715367323467</c:v>
              </c:pt>
              <c:pt idx="355">
                <c:v>2.9128442572523419</c:v>
              </c:pt>
              <c:pt idx="356">
                <c:v>2.9302435262558744</c:v>
              </c:pt>
              <c:pt idx="357">
                <c:v>2.9476640437570558</c:v>
              </c:pt>
              <c:pt idx="358">
                <c:v>2.9651005032974993</c:v>
              </c:pt>
              <c:pt idx="359">
                <c:v>2.9825475935627166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63-EA17-4058-B211-0A4D6288AFCD}"/>
            </c:ext>
          </c:extLst>
        </c:ser>
        <c:ser>
          <c:idx val="1"/>
          <c:order val="1"/>
          <c:spPr>
            <a:ln>
              <a:solidFill>
                <a:srgbClr val="000000"/>
              </a:solidFill>
            </a:ln>
          </c:spPr>
          <c:marker>
            <c:symbol val="none"/>
          </c:marker>
          <c:xVal>
            <c:numLit>
              <c:formatCode>General</c:formatCode>
              <c:ptCount val="360"/>
              <c:pt idx="0">
                <c:v>1</c:v>
              </c:pt>
              <c:pt idx="1">
                <c:v>0.99984769515639127</c:v>
              </c:pt>
              <c:pt idx="2">
                <c:v>0.99939082701909576</c:v>
              </c:pt>
              <c:pt idx="3">
                <c:v>0.99862953475457383</c:v>
              </c:pt>
              <c:pt idx="4">
                <c:v>0.9975640502598242</c:v>
              </c:pt>
              <c:pt idx="5">
                <c:v>0.99619469809174555</c:v>
              </c:pt>
              <c:pt idx="6">
                <c:v>0.99452189536827329</c:v>
              </c:pt>
              <c:pt idx="7">
                <c:v>0.99254615164132198</c:v>
              </c:pt>
              <c:pt idx="8">
                <c:v>0.99026806874157036</c:v>
              </c:pt>
              <c:pt idx="9">
                <c:v>0.98768834059513777</c:v>
              </c:pt>
              <c:pt idx="10">
                <c:v>0.98480775301220802</c:v>
              </c:pt>
              <c:pt idx="11">
                <c:v>0.98162718344766398</c:v>
              </c:pt>
              <c:pt idx="12">
                <c:v>0.97814760073380569</c:v>
              </c:pt>
              <c:pt idx="13">
                <c:v>0.97437006478523525</c:v>
              </c:pt>
              <c:pt idx="14">
                <c:v>0.97029572627599647</c:v>
              </c:pt>
              <c:pt idx="15">
                <c:v>0.96592582628906831</c:v>
              </c:pt>
              <c:pt idx="16">
                <c:v>0.96126169593831889</c:v>
              </c:pt>
              <c:pt idx="17">
                <c:v>0.95630475596303555</c:v>
              </c:pt>
              <c:pt idx="18">
                <c:v>0.95105651629515353</c:v>
              </c:pt>
              <c:pt idx="19">
                <c:v>0.94551857559931685</c:v>
              </c:pt>
              <c:pt idx="20">
                <c:v>0.93969262078590843</c:v>
              </c:pt>
              <c:pt idx="21">
                <c:v>0.93358042649720174</c:v>
              </c:pt>
              <c:pt idx="22">
                <c:v>0.92718385456678742</c:v>
              </c:pt>
              <c:pt idx="23">
                <c:v>0.92050485345244037</c:v>
              </c:pt>
              <c:pt idx="24">
                <c:v>0.91354545764260087</c:v>
              </c:pt>
              <c:pt idx="25">
                <c:v>0.90630778703664994</c:v>
              </c:pt>
              <c:pt idx="26">
                <c:v>0.89879404629916704</c:v>
              </c:pt>
              <c:pt idx="27">
                <c:v>0.8910065241883679</c:v>
              </c:pt>
              <c:pt idx="28">
                <c:v>0.88294759285892699</c:v>
              </c:pt>
              <c:pt idx="29">
                <c:v>0.87461970713939574</c:v>
              </c:pt>
              <c:pt idx="30">
                <c:v>0.86602540378443871</c:v>
              </c:pt>
              <c:pt idx="31">
                <c:v>0.85716730070211233</c:v>
              </c:pt>
              <c:pt idx="32">
                <c:v>0.84804809615642596</c:v>
              </c:pt>
              <c:pt idx="33">
                <c:v>0.83867056794542405</c:v>
              </c:pt>
              <c:pt idx="34">
                <c:v>0.82903757255504174</c:v>
              </c:pt>
              <c:pt idx="35">
                <c:v>0.8191520442889918</c:v>
              </c:pt>
              <c:pt idx="36">
                <c:v>0.80901699437494745</c:v>
              </c:pt>
              <c:pt idx="37">
                <c:v>0.79863551004729283</c:v>
              </c:pt>
              <c:pt idx="38">
                <c:v>0.7880107536067219</c:v>
              </c:pt>
              <c:pt idx="39">
                <c:v>0.7771459614569709</c:v>
              </c:pt>
              <c:pt idx="40">
                <c:v>0.76604444311897801</c:v>
              </c:pt>
              <c:pt idx="41">
                <c:v>0.75470958022277201</c:v>
              </c:pt>
              <c:pt idx="42">
                <c:v>0.74314482547739424</c:v>
              </c:pt>
              <c:pt idx="43">
                <c:v>0.73135370161917057</c:v>
              </c:pt>
              <c:pt idx="44">
                <c:v>0.71933980033865119</c:v>
              </c:pt>
              <c:pt idx="45">
                <c:v>0.70710678118654757</c:v>
              </c:pt>
              <c:pt idx="46">
                <c:v>0.69465837045899725</c:v>
              </c:pt>
              <c:pt idx="47">
                <c:v>0.68199836006249848</c:v>
              </c:pt>
              <c:pt idx="48">
                <c:v>0.66913060635885824</c:v>
              </c:pt>
              <c:pt idx="49">
                <c:v>0.65605902899050728</c:v>
              </c:pt>
              <c:pt idx="50">
                <c:v>0.64278760968653936</c:v>
              </c:pt>
              <c:pt idx="51">
                <c:v>0.6293203910498375</c:v>
              </c:pt>
              <c:pt idx="52">
                <c:v>0.6156614753256584</c:v>
              </c:pt>
              <c:pt idx="53">
                <c:v>0.60181502315204838</c:v>
              </c:pt>
              <c:pt idx="54">
                <c:v>0.58778525229247314</c:v>
              </c:pt>
              <c:pt idx="55">
                <c:v>0.57357643635104616</c:v>
              </c:pt>
              <c:pt idx="56">
                <c:v>0.55919290347074679</c:v>
              </c:pt>
              <c:pt idx="57">
                <c:v>0.54463903501502708</c:v>
              </c:pt>
              <c:pt idx="58">
                <c:v>0.5299192642332049</c:v>
              </c:pt>
              <c:pt idx="59">
                <c:v>0.51503807491005427</c:v>
              </c:pt>
              <c:pt idx="60">
                <c:v>0.50000000000000011</c:v>
              </c:pt>
              <c:pt idx="61">
                <c:v>0.48480962024633711</c:v>
              </c:pt>
              <c:pt idx="62">
                <c:v>0.46947156278589086</c:v>
              </c:pt>
              <c:pt idx="63">
                <c:v>0.45399049973954686</c:v>
              </c:pt>
              <c:pt idx="64">
                <c:v>0.43837114678907746</c:v>
              </c:pt>
              <c:pt idx="65">
                <c:v>0.42261826174069944</c:v>
              </c:pt>
              <c:pt idx="66">
                <c:v>0.40673664307580021</c:v>
              </c:pt>
              <c:pt idx="67">
                <c:v>0.39073112848927372</c:v>
              </c:pt>
              <c:pt idx="68">
                <c:v>0.37460659341591218</c:v>
              </c:pt>
              <c:pt idx="69">
                <c:v>0.35836794954530038</c:v>
              </c:pt>
              <c:pt idx="70">
                <c:v>0.34202014332566882</c:v>
              </c:pt>
              <c:pt idx="71">
                <c:v>0.32556815445715676</c:v>
              </c:pt>
              <c:pt idx="72">
                <c:v>0.30901699437494745</c:v>
              </c:pt>
              <c:pt idx="73">
                <c:v>0.29237170472273677</c:v>
              </c:pt>
              <c:pt idx="74">
                <c:v>0.27563735581699916</c:v>
              </c:pt>
              <c:pt idx="75">
                <c:v>0.25881904510252074</c:v>
              </c:pt>
              <c:pt idx="76">
                <c:v>0.24192189559966767</c:v>
              </c:pt>
              <c:pt idx="77">
                <c:v>0.22495105434386514</c:v>
              </c:pt>
              <c:pt idx="78">
                <c:v>0.20791169081775945</c:v>
              </c:pt>
              <c:pt idx="79">
                <c:v>0.19080899537654492</c:v>
              </c:pt>
              <c:pt idx="80">
                <c:v>0.17364817766693041</c:v>
              </c:pt>
              <c:pt idx="81">
                <c:v>0.15643446504023092</c:v>
              </c:pt>
              <c:pt idx="82">
                <c:v>0.13917310096006547</c:v>
              </c:pt>
              <c:pt idx="83">
                <c:v>0.12186934340514749</c:v>
              </c:pt>
              <c:pt idx="84">
                <c:v>0.10452846326765346</c:v>
              </c:pt>
              <c:pt idx="85">
                <c:v>8.7155742747658138E-2</c:v>
              </c:pt>
              <c:pt idx="86">
                <c:v>6.9756473744125455E-2</c:v>
              </c:pt>
              <c:pt idx="87">
                <c:v>5.2335956242943966E-2</c:v>
              </c:pt>
              <c:pt idx="88">
                <c:v>3.489949670250108E-2</c:v>
              </c:pt>
              <c:pt idx="89">
                <c:v>1.7452406437283598E-2</c:v>
              </c:pt>
              <c:pt idx="90">
                <c:v>6.123233995736766E-17</c:v>
              </c:pt>
              <c:pt idx="91">
                <c:v>-1.7452406437283477E-2</c:v>
              </c:pt>
              <c:pt idx="92">
                <c:v>-3.4899496702500955E-2</c:v>
              </c:pt>
              <c:pt idx="93">
                <c:v>-5.2335956242943842E-2</c:v>
              </c:pt>
              <c:pt idx="94">
                <c:v>-6.975647374412533E-2</c:v>
              </c:pt>
              <c:pt idx="95">
                <c:v>-8.7155742747658013E-2</c:v>
              </c:pt>
              <c:pt idx="96">
                <c:v>-0.10452846326765333</c:v>
              </c:pt>
              <c:pt idx="97">
                <c:v>-0.12186934340514737</c:v>
              </c:pt>
              <c:pt idx="98">
                <c:v>-0.13917310096006535</c:v>
              </c:pt>
              <c:pt idx="99">
                <c:v>-0.15643446504023081</c:v>
              </c:pt>
              <c:pt idx="100">
                <c:v>-0.1736481776669303</c:v>
              </c:pt>
              <c:pt idx="101">
                <c:v>-0.1908089953765448</c:v>
              </c:pt>
              <c:pt idx="102">
                <c:v>-0.20791169081775934</c:v>
              </c:pt>
              <c:pt idx="103">
                <c:v>-0.22495105434386503</c:v>
              </c:pt>
              <c:pt idx="104">
                <c:v>-0.24192189559966756</c:v>
              </c:pt>
              <c:pt idx="105">
                <c:v>-0.25881904510252063</c:v>
              </c:pt>
              <c:pt idx="106">
                <c:v>-0.27563735581699905</c:v>
              </c:pt>
              <c:pt idx="107">
                <c:v>-0.29237170472273666</c:v>
              </c:pt>
              <c:pt idx="108">
                <c:v>-0.30901699437494734</c:v>
              </c:pt>
              <c:pt idx="109">
                <c:v>-0.32556815445715664</c:v>
              </c:pt>
              <c:pt idx="110">
                <c:v>-0.34202014332566871</c:v>
              </c:pt>
              <c:pt idx="111">
                <c:v>-0.35836794954530027</c:v>
              </c:pt>
              <c:pt idx="112">
                <c:v>-0.37460659341591207</c:v>
              </c:pt>
              <c:pt idx="113">
                <c:v>-0.3907311284892736</c:v>
              </c:pt>
              <c:pt idx="114">
                <c:v>-0.4067366430758001</c:v>
              </c:pt>
              <c:pt idx="115">
                <c:v>-0.42261826174069933</c:v>
              </c:pt>
              <c:pt idx="116">
                <c:v>-0.43837114678907751</c:v>
              </c:pt>
              <c:pt idx="117">
                <c:v>-0.45399049973954669</c:v>
              </c:pt>
              <c:pt idx="118">
                <c:v>-0.46947156278589053</c:v>
              </c:pt>
              <c:pt idx="119">
                <c:v>-0.484809620246337</c:v>
              </c:pt>
              <c:pt idx="120">
                <c:v>-0.49999999999999978</c:v>
              </c:pt>
              <c:pt idx="121">
                <c:v>-0.51503807491005427</c:v>
              </c:pt>
              <c:pt idx="122">
                <c:v>-0.52991926423320479</c:v>
              </c:pt>
              <c:pt idx="123">
                <c:v>-0.54463903501502708</c:v>
              </c:pt>
              <c:pt idx="124">
                <c:v>-0.55919290347074668</c:v>
              </c:pt>
              <c:pt idx="125">
                <c:v>-0.57357643635104616</c:v>
              </c:pt>
              <c:pt idx="126">
                <c:v>-0.58778525229247303</c:v>
              </c:pt>
              <c:pt idx="127">
                <c:v>-0.60181502315204805</c:v>
              </c:pt>
              <c:pt idx="128">
                <c:v>-0.61566147532565829</c:v>
              </c:pt>
              <c:pt idx="129">
                <c:v>-0.62932039104983728</c:v>
              </c:pt>
              <c:pt idx="130">
                <c:v>-0.64278760968653936</c:v>
              </c:pt>
              <c:pt idx="131">
                <c:v>-0.65605902899050716</c:v>
              </c:pt>
              <c:pt idx="132">
                <c:v>-0.66913060635885824</c:v>
              </c:pt>
              <c:pt idx="133">
                <c:v>-0.68199836006249837</c:v>
              </c:pt>
              <c:pt idx="134">
                <c:v>-0.69465837045899737</c:v>
              </c:pt>
              <c:pt idx="135">
                <c:v>-0.70710678118654746</c:v>
              </c:pt>
              <c:pt idx="136">
                <c:v>-0.71933980033865097</c:v>
              </c:pt>
              <c:pt idx="137">
                <c:v>-0.73135370161917046</c:v>
              </c:pt>
              <c:pt idx="138">
                <c:v>-0.74314482547739413</c:v>
              </c:pt>
              <c:pt idx="139">
                <c:v>-0.75470958022277201</c:v>
              </c:pt>
              <c:pt idx="140">
                <c:v>-0.7660444431189779</c:v>
              </c:pt>
              <c:pt idx="141">
                <c:v>-0.7771459614569709</c:v>
              </c:pt>
              <c:pt idx="142">
                <c:v>-0.7880107536067219</c:v>
              </c:pt>
              <c:pt idx="143">
                <c:v>-0.79863551004729294</c:v>
              </c:pt>
              <c:pt idx="144">
                <c:v>-0.80901699437494734</c:v>
              </c:pt>
              <c:pt idx="145">
                <c:v>-0.81915204428899158</c:v>
              </c:pt>
              <c:pt idx="146">
                <c:v>-0.82903757255504162</c:v>
              </c:pt>
              <c:pt idx="147">
                <c:v>-0.83867056794542394</c:v>
              </c:pt>
              <c:pt idx="148">
                <c:v>-0.84804809615642596</c:v>
              </c:pt>
              <c:pt idx="149">
                <c:v>-0.85716730070211222</c:v>
              </c:pt>
              <c:pt idx="150">
                <c:v>-0.86602540378443871</c:v>
              </c:pt>
              <c:pt idx="151">
                <c:v>-0.87461970713939574</c:v>
              </c:pt>
              <c:pt idx="152">
                <c:v>-0.88294759285892699</c:v>
              </c:pt>
              <c:pt idx="153">
                <c:v>-0.89100652418836779</c:v>
              </c:pt>
              <c:pt idx="154">
                <c:v>-0.89879404629916682</c:v>
              </c:pt>
              <c:pt idx="155">
                <c:v>-0.90630778703664994</c:v>
              </c:pt>
              <c:pt idx="156">
                <c:v>-0.91354545764260076</c:v>
              </c:pt>
              <c:pt idx="157">
                <c:v>-0.92050485345244037</c:v>
              </c:pt>
              <c:pt idx="158">
                <c:v>-0.92718385456678731</c:v>
              </c:pt>
              <c:pt idx="159">
                <c:v>-0.93358042649720174</c:v>
              </c:pt>
              <c:pt idx="160">
                <c:v>-0.93969262078590832</c:v>
              </c:pt>
              <c:pt idx="161">
                <c:v>-0.94551857559931685</c:v>
              </c:pt>
              <c:pt idx="162">
                <c:v>-0.95105651629515353</c:v>
              </c:pt>
              <c:pt idx="163">
                <c:v>-0.95630475596303544</c:v>
              </c:pt>
              <c:pt idx="164">
                <c:v>-0.96126169593831889</c:v>
              </c:pt>
              <c:pt idx="165">
                <c:v>-0.9659258262890682</c:v>
              </c:pt>
              <c:pt idx="166">
                <c:v>-0.97029572627599647</c:v>
              </c:pt>
              <c:pt idx="167">
                <c:v>-0.97437006478523513</c:v>
              </c:pt>
              <c:pt idx="168">
                <c:v>-0.97814760073380569</c:v>
              </c:pt>
              <c:pt idx="169">
                <c:v>-0.98162718344766398</c:v>
              </c:pt>
              <c:pt idx="170">
                <c:v>-0.98480775301220802</c:v>
              </c:pt>
              <c:pt idx="171">
                <c:v>-0.98768834059513766</c:v>
              </c:pt>
              <c:pt idx="172">
                <c:v>-0.99026806874157025</c:v>
              </c:pt>
              <c:pt idx="173">
                <c:v>-0.99254615164132198</c:v>
              </c:pt>
              <c:pt idx="174">
                <c:v>-0.99452189536827329</c:v>
              </c:pt>
              <c:pt idx="175">
                <c:v>-0.99619469809174555</c:v>
              </c:pt>
              <c:pt idx="176">
                <c:v>-0.9975640502598242</c:v>
              </c:pt>
              <c:pt idx="177">
                <c:v>-0.99862953475457383</c:v>
              </c:pt>
              <c:pt idx="178">
                <c:v>-0.99939082701909576</c:v>
              </c:pt>
              <c:pt idx="179">
                <c:v>-0.99984769515639127</c:v>
              </c:pt>
              <c:pt idx="180">
                <c:v>-1</c:v>
              </c:pt>
              <c:pt idx="181">
                <c:v>-0.99984769515639127</c:v>
              </c:pt>
              <c:pt idx="182">
                <c:v>-0.99939082701909576</c:v>
              </c:pt>
              <c:pt idx="183">
                <c:v>-0.99862953475457383</c:v>
              </c:pt>
              <c:pt idx="184">
                <c:v>-0.9975640502598242</c:v>
              </c:pt>
              <c:pt idx="185">
                <c:v>-0.99619469809174555</c:v>
              </c:pt>
              <c:pt idx="186">
                <c:v>-0.99452189536827329</c:v>
              </c:pt>
              <c:pt idx="187">
                <c:v>-0.99254615164132209</c:v>
              </c:pt>
              <c:pt idx="188">
                <c:v>-0.99026806874157025</c:v>
              </c:pt>
              <c:pt idx="189">
                <c:v>-0.98768834059513777</c:v>
              </c:pt>
              <c:pt idx="190">
                <c:v>-0.98480775301220813</c:v>
              </c:pt>
              <c:pt idx="191">
                <c:v>-0.98162718344766398</c:v>
              </c:pt>
              <c:pt idx="192">
                <c:v>-0.97814760073380569</c:v>
              </c:pt>
              <c:pt idx="193">
                <c:v>-0.97437006478523525</c:v>
              </c:pt>
              <c:pt idx="194">
                <c:v>-0.97029572627599647</c:v>
              </c:pt>
              <c:pt idx="195">
                <c:v>-0.96592582628906831</c:v>
              </c:pt>
              <c:pt idx="196">
                <c:v>-0.96126169593831889</c:v>
              </c:pt>
              <c:pt idx="197">
                <c:v>-0.95630475596303544</c:v>
              </c:pt>
              <c:pt idx="198">
                <c:v>-0.95105651629515364</c:v>
              </c:pt>
              <c:pt idx="199">
                <c:v>-0.94551857559931696</c:v>
              </c:pt>
              <c:pt idx="200">
                <c:v>-0.93969262078590843</c:v>
              </c:pt>
              <c:pt idx="201">
                <c:v>-0.93358042649720185</c:v>
              </c:pt>
              <c:pt idx="202">
                <c:v>-0.92718385456678742</c:v>
              </c:pt>
              <c:pt idx="203">
                <c:v>-0.92050485345244037</c:v>
              </c:pt>
              <c:pt idx="204">
                <c:v>-0.91354545764260087</c:v>
              </c:pt>
              <c:pt idx="205">
                <c:v>-0.90630778703665005</c:v>
              </c:pt>
              <c:pt idx="206">
                <c:v>-0.89879404629916693</c:v>
              </c:pt>
              <c:pt idx="207">
                <c:v>-0.8910065241883679</c:v>
              </c:pt>
              <c:pt idx="208">
                <c:v>-0.8829475928589271</c:v>
              </c:pt>
              <c:pt idx="209">
                <c:v>-0.87461970713939585</c:v>
              </c:pt>
              <c:pt idx="210">
                <c:v>-0.86602540378443882</c:v>
              </c:pt>
              <c:pt idx="211">
                <c:v>-0.85716730070211233</c:v>
              </c:pt>
              <c:pt idx="212">
                <c:v>-0.84804809615642607</c:v>
              </c:pt>
              <c:pt idx="213">
                <c:v>-0.83867056794542405</c:v>
              </c:pt>
              <c:pt idx="214">
                <c:v>-0.82903757255504174</c:v>
              </c:pt>
              <c:pt idx="215">
                <c:v>-0.8191520442889918</c:v>
              </c:pt>
              <c:pt idx="216">
                <c:v>-0.80901699437494745</c:v>
              </c:pt>
              <c:pt idx="217">
                <c:v>-0.79863551004729305</c:v>
              </c:pt>
              <c:pt idx="218">
                <c:v>-0.78801075360672201</c:v>
              </c:pt>
              <c:pt idx="219">
                <c:v>-0.77714596145697112</c:v>
              </c:pt>
              <c:pt idx="220">
                <c:v>-0.76604444311897801</c:v>
              </c:pt>
              <c:pt idx="221">
                <c:v>-0.75470958022277213</c:v>
              </c:pt>
              <c:pt idx="222">
                <c:v>-0.74314482547739424</c:v>
              </c:pt>
              <c:pt idx="223">
                <c:v>-0.73135370161917057</c:v>
              </c:pt>
              <c:pt idx="224">
                <c:v>-0.71933980033865108</c:v>
              </c:pt>
              <c:pt idx="225">
                <c:v>-0.70710678118654768</c:v>
              </c:pt>
              <c:pt idx="226">
                <c:v>-0.69465837045899748</c:v>
              </c:pt>
              <c:pt idx="227">
                <c:v>-0.68199836006249859</c:v>
              </c:pt>
              <c:pt idx="228">
                <c:v>-0.66913060635885846</c:v>
              </c:pt>
              <c:pt idx="229">
                <c:v>-0.65605902899050728</c:v>
              </c:pt>
              <c:pt idx="230">
                <c:v>-0.64278760968653947</c:v>
              </c:pt>
              <c:pt idx="231">
                <c:v>-0.62932039104983784</c:v>
              </c:pt>
              <c:pt idx="232">
                <c:v>-0.61566147532565807</c:v>
              </c:pt>
              <c:pt idx="233">
                <c:v>-0.60181502315204827</c:v>
              </c:pt>
              <c:pt idx="234">
                <c:v>-0.58778525229247325</c:v>
              </c:pt>
              <c:pt idx="235">
                <c:v>-0.57357643635104638</c:v>
              </c:pt>
              <c:pt idx="236">
                <c:v>-0.55919290347074724</c:v>
              </c:pt>
              <c:pt idx="237">
                <c:v>-0.54463903501502697</c:v>
              </c:pt>
              <c:pt idx="238">
                <c:v>-0.52991926423320501</c:v>
              </c:pt>
              <c:pt idx="239">
                <c:v>-0.51503807491005438</c:v>
              </c:pt>
              <c:pt idx="240">
                <c:v>-0.50000000000000044</c:v>
              </c:pt>
              <c:pt idx="241">
                <c:v>-0.48480962024633684</c:v>
              </c:pt>
              <c:pt idx="242">
                <c:v>-0.46947156278589075</c:v>
              </c:pt>
              <c:pt idx="243">
                <c:v>-0.45399049973954692</c:v>
              </c:pt>
              <c:pt idx="244">
                <c:v>-0.43837114678907774</c:v>
              </c:pt>
              <c:pt idx="245">
                <c:v>-0.42261826174069994</c:v>
              </c:pt>
              <c:pt idx="246">
                <c:v>-0.4067366430758001</c:v>
              </c:pt>
              <c:pt idx="247">
                <c:v>-0.39073112848927383</c:v>
              </c:pt>
              <c:pt idx="248">
                <c:v>-0.37460659341591229</c:v>
              </c:pt>
              <c:pt idx="249">
                <c:v>-0.35836794954530071</c:v>
              </c:pt>
              <c:pt idx="250">
                <c:v>-0.34202014332566855</c:v>
              </c:pt>
              <c:pt idx="251">
                <c:v>-0.32556815445715664</c:v>
              </c:pt>
              <c:pt idx="252">
                <c:v>-0.30901699437494756</c:v>
              </c:pt>
              <c:pt idx="253">
                <c:v>-0.2923717047227371</c:v>
              </c:pt>
              <c:pt idx="254">
                <c:v>-0.27563735581699972</c:v>
              </c:pt>
              <c:pt idx="255">
                <c:v>-0.25881904510252063</c:v>
              </c:pt>
              <c:pt idx="256">
                <c:v>-0.24192189559966779</c:v>
              </c:pt>
              <c:pt idx="257">
                <c:v>-0.22495105434386525</c:v>
              </c:pt>
              <c:pt idx="258">
                <c:v>-0.20791169081775979</c:v>
              </c:pt>
              <c:pt idx="259">
                <c:v>-0.19080899537654461</c:v>
              </c:pt>
              <c:pt idx="260">
                <c:v>-0.17364817766693033</c:v>
              </c:pt>
              <c:pt idx="261">
                <c:v>-0.15643446504023104</c:v>
              </c:pt>
              <c:pt idx="262">
                <c:v>-0.13917310096006583</c:v>
              </c:pt>
              <c:pt idx="263">
                <c:v>-0.12186934340514805</c:v>
              </c:pt>
              <c:pt idx="264">
                <c:v>-0.10452846326765336</c:v>
              </c:pt>
              <c:pt idx="265">
                <c:v>-8.7155742747658249E-2</c:v>
              </c:pt>
              <c:pt idx="266">
                <c:v>-6.975647374412558E-2</c:v>
              </c:pt>
              <c:pt idx="267">
                <c:v>-5.2335956242944306E-2</c:v>
              </c:pt>
              <c:pt idx="268">
                <c:v>-3.4899496702500761E-2</c:v>
              </c:pt>
              <c:pt idx="269">
                <c:v>-1.7452406437283498E-2</c:v>
              </c:pt>
              <c:pt idx="270">
                <c:v>-1.8369701987210297E-16</c:v>
              </c:pt>
              <c:pt idx="271">
                <c:v>1.745240643728313E-2</c:v>
              </c:pt>
              <c:pt idx="272">
                <c:v>3.4899496702500393E-2</c:v>
              </c:pt>
              <c:pt idx="273">
                <c:v>5.2335956242943946E-2</c:v>
              </c:pt>
              <c:pt idx="274">
                <c:v>6.9756473744125219E-2</c:v>
              </c:pt>
              <c:pt idx="275">
                <c:v>8.7155742747657888E-2</c:v>
              </c:pt>
              <c:pt idx="276">
                <c:v>0.10452846326765299</c:v>
              </c:pt>
              <c:pt idx="277">
                <c:v>0.12186934340514768</c:v>
              </c:pt>
              <c:pt idx="278">
                <c:v>0.13917310096006547</c:v>
              </c:pt>
              <c:pt idx="279">
                <c:v>0.15643446504023067</c:v>
              </c:pt>
              <c:pt idx="280">
                <c:v>0.17364817766692997</c:v>
              </c:pt>
              <c:pt idx="281">
                <c:v>0.19080899537654425</c:v>
              </c:pt>
              <c:pt idx="282">
                <c:v>0.20791169081775943</c:v>
              </c:pt>
              <c:pt idx="283">
                <c:v>0.22495105434386492</c:v>
              </c:pt>
              <c:pt idx="284">
                <c:v>0.24192189559966742</c:v>
              </c:pt>
              <c:pt idx="285">
                <c:v>0.2588190451025203</c:v>
              </c:pt>
              <c:pt idx="286">
                <c:v>0.27563735581699939</c:v>
              </c:pt>
              <c:pt idx="287">
                <c:v>0.29237170472273671</c:v>
              </c:pt>
              <c:pt idx="288">
                <c:v>0.30901699437494723</c:v>
              </c:pt>
              <c:pt idx="289">
                <c:v>0.32556815445715631</c:v>
              </c:pt>
              <c:pt idx="290">
                <c:v>0.34202014332566816</c:v>
              </c:pt>
              <c:pt idx="291">
                <c:v>0.35836794954530038</c:v>
              </c:pt>
              <c:pt idx="292">
                <c:v>0.37460659341591196</c:v>
              </c:pt>
              <c:pt idx="293">
                <c:v>0.39073112848927349</c:v>
              </c:pt>
              <c:pt idx="294">
                <c:v>0.40673664307579976</c:v>
              </c:pt>
              <c:pt idx="295">
                <c:v>0.42261826174069961</c:v>
              </c:pt>
              <c:pt idx="296">
                <c:v>0.4383711467890774</c:v>
              </c:pt>
              <c:pt idx="297">
                <c:v>0.45399049973954664</c:v>
              </c:pt>
              <c:pt idx="298">
                <c:v>0.46947156278589042</c:v>
              </c:pt>
              <c:pt idx="299">
                <c:v>0.4848096202463365</c:v>
              </c:pt>
              <c:pt idx="300">
                <c:v>0.50000000000000011</c:v>
              </c:pt>
              <c:pt idx="301">
                <c:v>0.51503807491005416</c:v>
              </c:pt>
              <c:pt idx="302">
                <c:v>0.52991926423320468</c:v>
              </c:pt>
              <c:pt idx="303">
                <c:v>0.54463903501502664</c:v>
              </c:pt>
              <c:pt idx="304">
                <c:v>0.55919290347074702</c:v>
              </c:pt>
              <c:pt idx="305">
                <c:v>0.57357643635104605</c:v>
              </c:pt>
              <c:pt idx="306">
                <c:v>0.58778525229247292</c:v>
              </c:pt>
              <c:pt idx="307">
                <c:v>0.60181502315204793</c:v>
              </c:pt>
              <c:pt idx="308">
                <c:v>0.61566147532565785</c:v>
              </c:pt>
              <c:pt idx="309">
                <c:v>0.6293203910498375</c:v>
              </c:pt>
              <c:pt idx="310">
                <c:v>0.64278760968653925</c:v>
              </c:pt>
              <c:pt idx="311">
                <c:v>0.65605902899050705</c:v>
              </c:pt>
              <c:pt idx="312">
                <c:v>0.66913060635885779</c:v>
              </c:pt>
              <c:pt idx="313">
                <c:v>0.68199836006249859</c:v>
              </c:pt>
              <c:pt idx="314">
                <c:v>0.69465837045899725</c:v>
              </c:pt>
              <c:pt idx="315">
                <c:v>0.70710678118654735</c:v>
              </c:pt>
              <c:pt idx="316">
                <c:v>0.71933980033865086</c:v>
              </c:pt>
              <c:pt idx="317">
                <c:v>0.73135370161917013</c:v>
              </c:pt>
              <c:pt idx="318">
                <c:v>0.74314482547739424</c:v>
              </c:pt>
              <c:pt idx="319">
                <c:v>0.7547095802227719</c:v>
              </c:pt>
              <c:pt idx="320">
                <c:v>0.76604444311897779</c:v>
              </c:pt>
              <c:pt idx="321">
                <c:v>0.77714596145697057</c:v>
              </c:pt>
              <c:pt idx="322">
                <c:v>0.78801075360672201</c:v>
              </c:pt>
              <c:pt idx="323">
                <c:v>0.79863551004729283</c:v>
              </c:pt>
              <c:pt idx="324">
                <c:v>0.80901699437494734</c:v>
              </c:pt>
              <c:pt idx="325">
                <c:v>0.81915204428899158</c:v>
              </c:pt>
              <c:pt idx="326">
                <c:v>0.8290375725550414</c:v>
              </c:pt>
              <c:pt idx="327">
                <c:v>0.83867056794542405</c:v>
              </c:pt>
              <c:pt idx="328">
                <c:v>0.84804809615642585</c:v>
              </c:pt>
              <c:pt idx="329">
                <c:v>0.85716730070211211</c:v>
              </c:pt>
              <c:pt idx="330">
                <c:v>0.86602540378443837</c:v>
              </c:pt>
              <c:pt idx="331">
                <c:v>0.87461970713939585</c:v>
              </c:pt>
              <c:pt idx="332">
                <c:v>0.88294759285892699</c:v>
              </c:pt>
              <c:pt idx="333">
                <c:v>0.89100652418836779</c:v>
              </c:pt>
              <c:pt idx="334">
                <c:v>0.89879404629916682</c:v>
              </c:pt>
              <c:pt idx="335">
                <c:v>0.90630778703664971</c:v>
              </c:pt>
              <c:pt idx="336">
                <c:v>0.91354545764260098</c:v>
              </c:pt>
              <c:pt idx="337">
                <c:v>0.92050485345244026</c:v>
              </c:pt>
              <c:pt idx="338">
                <c:v>0.92718385456678731</c:v>
              </c:pt>
              <c:pt idx="339">
                <c:v>0.93358042649720152</c:v>
              </c:pt>
              <c:pt idx="340">
                <c:v>0.93969262078590843</c:v>
              </c:pt>
              <c:pt idx="341">
                <c:v>0.94551857559931685</c:v>
              </c:pt>
              <c:pt idx="342">
                <c:v>0.95105651629515353</c:v>
              </c:pt>
              <c:pt idx="343">
                <c:v>0.95630475596303532</c:v>
              </c:pt>
              <c:pt idx="344">
                <c:v>0.96126169593831867</c:v>
              </c:pt>
              <c:pt idx="345">
                <c:v>0.96592582628906831</c:v>
              </c:pt>
              <c:pt idx="346">
                <c:v>0.97029572627599647</c:v>
              </c:pt>
              <c:pt idx="347">
                <c:v>0.97437006478523513</c:v>
              </c:pt>
              <c:pt idx="348">
                <c:v>0.97814760073380558</c:v>
              </c:pt>
              <c:pt idx="349">
                <c:v>0.98162718344766398</c:v>
              </c:pt>
              <c:pt idx="350">
                <c:v>0.98480775301220802</c:v>
              </c:pt>
              <c:pt idx="351">
                <c:v>0.98768834059513766</c:v>
              </c:pt>
              <c:pt idx="352">
                <c:v>0.99026806874157025</c:v>
              </c:pt>
              <c:pt idx="353">
                <c:v>0.99254615164132198</c:v>
              </c:pt>
              <c:pt idx="354">
                <c:v>0.99452189536827329</c:v>
              </c:pt>
              <c:pt idx="355">
                <c:v>0.99619469809174555</c:v>
              </c:pt>
              <c:pt idx="356">
                <c:v>0.9975640502598242</c:v>
              </c:pt>
              <c:pt idx="357">
                <c:v>0.99862953475457383</c:v>
              </c:pt>
              <c:pt idx="358">
                <c:v>0.99939082701909576</c:v>
              </c:pt>
              <c:pt idx="359">
                <c:v>0.99984769515639127</c:v>
              </c:pt>
            </c:numLit>
          </c:xVal>
          <c:yVal>
            <c:numLit>
              <c:formatCode>General</c:formatCode>
              <c:ptCount val="360"/>
              <c:pt idx="0">
                <c:v>-3</c:v>
              </c:pt>
              <c:pt idx="1">
                <c:v>-2.9825475935627166</c:v>
              </c:pt>
              <c:pt idx="2">
                <c:v>-2.9651005032974989</c:v>
              </c:pt>
              <c:pt idx="3">
                <c:v>-2.9476640437570563</c:v>
              </c:pt>
              <c:pt idx="4">
                <c:v>-2.9302435262558748</c:v>
              </c:pt>
              <c:pt idx="5">
                <c:v>-2.9128442572523419</c:v>
              </c:pt>
              <c:pt idx="6">
                <c:v>-2.8954715367323467</c:v>
              </c:pt>
              <c:pt idx="7">
                <c:v>-2.8781306565948523</c:v>
              </c:pt>
              <c:pt idx="8">
                <c:v>-2.8608268990399344</c:v>
              </c:pt>
              <c:pt idx="9">
                <c:v>-2.8435655349597693</c:v>
              </c:pt>
              <c:pt idx="10">
                <c:v>-2.8263518223330695</c:v>
              </c:pt>
              <c:pt idx="11">
                <c:v>-2.8091910046234552</c:v>
              </c:pt>
              <c:pt idx="12">
                <c:v>-2.7920883091822408</c:v>
              </c:pt>
              <c:pt idx="13">
                <c:v>-2.7750489456561351</c:v>
              </c:pt>
              <c:pt idx="14">
                <c:v>-2.7580781044003322</c:v>
              </c:pt>
              <c:pt idx="15">
                <c:v>-2.7411809548974793</c:v>
              </c:pt>
              <c:pt idx="16">
                <c:v>-2.7243626441830009</c:v>
              </c:pt>
              <c:pt idx="17">
                <c:v>-2.7076282952772632</c:v>
              </c:pt>
              <c:pt idx="18">
                <c:v>-2.6909830056250525</c:v>
              </c:pt>
              <c:pt idx="19">
                <c:v>-2.6744318455428431</c:v>
              </c:pt>
              <c:pt idx="20">
                <c:v>-2.6579798566743311</c:v>
              </c:pt>
              <c:pt idx="21">
                <c:v>-2.6416320504546995</c:v>
              </c:pt>
              <c:pt idx="22">
                <c:v>-2.625393406584088</c:v>
              </c:pt>
              <c:pt idx="23">
                <c:v>-2.6092688715107264</c:v>
              </c:pt>
              <c:pt idx="24">
                <c:v>-2.5932633569241998</c:v>
              </c:pt>
              <c:pt idx="25">
                <c:v>-2.5773817382593007</c:v>
              </c:pt>
              <c:pt idx="26">
                <c:v>-2.5616288532109226</c:v>
              </c:pt>
              <c:pt idx="27">
                <c:v>-2.5460095002604533</c:v>
              </c:pt>
              <c:pt idx="28">
                <c:v>-2.5305284372141092</c:v>
              </c:pt>
              <c:pt idx="29">
                <c:v>-2.5151903797536628</c:v>
              </c:pt>
              <c:pt idx="30">
                <c:v>-2.5</c:v>
              </c:pt>
              <c:pt idx="31">
                <c:v>-2.4849619250899457</c:v>
              </c:pt>
              <c:pt idx="32">
                <c:v>-2.4700807357667953</c:v>
              </c:pt>
              <c:pt idx="33">
                <c:v>-2.455360964984973</c:v>
              </c:pt>
              <c:pt idx="34">
                <c:v>-2.4408070965292534</c:v>
              </c:pt>
              <c:pt idx="35">
                <c:v>-2.426423563648954</c:v>
              </c:pt>
              <c:pt idx="36">
                <c:v>-2.4122147477075266</c:v>
              </c:pt>
              <c:pt idx="37">
                <c:v>-2.3981849768479515</c:v>
              </c:pt>
              <c:pt idx="38">
                <c:v>-2.3843385246743418</c:v>
              </c:pt>
              <c:pt idx="39">
                <c:v>-2.3706796089501627</c:v>
              </c:pt>
              <c:pt idx="40">
                <c:v>-2.3572123903134607</c:v>
              </c:pt>
              <c:pt idx="41">
                <c:v>-2.3439409710094927</c:v>
              </c:pt>
              <c:pt idx="42">
                <c:v>-2.3308693936411418</c:v>
              </c:pt>
              <c:pt idx="43">
                <c:v>-2.3180016399375014</c:v>
              </c:pt>
              <c:pt idx="44">
                <c:v>-2.3053416295410027</c:v>
              </c:pt>
              <c:pt idx="45">
                <c:v>-2.2928932188134525</c:v>
              </c:pt>
              <c:pt idx="46">
                <c:v>-2.2806601996613489</c:v>
              </c:pt>
              <c:pt idx="47">
                <c:v>-2.2686462983808298</c:v>
              </c:pt>
              <c:pt idx="48">
                <c:v>-2.256855174522606</c:v>
              </c:pt>
              <c:pt idx="49">
                <c:v>-2.2452904197772279</c:v>
              </c:pt>
              <c:pt idx="50">
                <c:v>-2.2339555568810221</c:v>
              </c:pt>
              <c:pt idx="51">
                <c:v>-2.2228540385430291</c:v>
              </c:pt>
              <c:pt idx="52">
                <c:v>-2.2119892463932782</c:v>
              </c:pt>
              <c:pt idx="53">
                <c:v>-2.2013644899527072</c:v>
              </c:pt>
              <c:pt idx="54">
                <c:v>-2.1909830056250525</c:v>
              </c:pt>
              <c:pt idx="55">
                <c:v>-2.1808479557110081</c:v>
              </c:pt>
              <c:pt idx="56">
                <c:v>-2.1709624274449584</c:v>
              </c:pt>
              <c:pt idx="57">
                <c:v>-2.1613294320545759</c:v>
              </c:pt>
              <c:pt idx="58">
                <c:v>-2.1519519038435737</c:v>
              </c:pt>
              <c:pt idx="59">
                <c:v>-2.1428326992978879</c:v>
              </c:pt>
              <c:pt idx="60">
                <c:v>-2.1339745962155616</c:v>
              </c:pt>
              <c:pt idx="61">
                <c:v>-2.125380292860604</c:v>
              </c:pt>
              <c:pt idx="62">
                <c:v>-2.117052407141073</c:v>
              </c:pt>
              <c:pt idx="63">
                <c:v>-2.1089934758116322</c:v>
              </c:pt>
              <c:pt idx="64">
                <c:v>-2.1012059537008332</c:v>
              </c:pt>
              <c:pt idx="65">
                <c:v>-2.09369221296335</c:v>
              </c:pt>
              <c:pt idx="66">
                <c:v>-2.0864545423573992</c:v>
              </c:pt>
              <c:pt idx="67">
                <c:v>-2.0794951465475595</c:v>
              </c:pt>
              <c:pt idx="68">
                <c:v>-2.0728161454332126</c:v>
              </c:pt>
              <c:pt idx="69">
                <c:v>-2.0664195735027984</c:v>
              </c:pt>
              <c:pt idx="70">
                <c:v>-2.0603073792140916</c:v>
              </c:pt>
              <c:pt idx="71">
                <c:v>-2.0544814244006835</c:v>
              </c:pt>
              <c:pt idx="72">
                <c:v>-2.0489434837048464</c:v>
              </c:pt>
              <c:pt idx="73">
                <c:v>-2.0436952440369645</c:v>
              </c:pt>
              <c:pt idx="74">
                <c:v>-2.0387383040616811</c:v>
              </c:pt>
              <c:pt idx="75">
                <c:v>-2.0340741737109318</c:v>
              </c:pt>
              <c:pt idx="76">
                <c:v>-2.0297042737240036</c:v>
              </c:pt>
              <c:pt idx="77">
                <c:v>-2.0256299352147646</c:v>
              </c:pt>
              <c:pt idx="78">
                <c:v>-2.0218523992661943</c:v>
              </c:pt>
              <c:pt idx="79">
                <c:v>-2.0183728165523362</c:v>
              </c:pt>
              <c:pt idx="80">
                <c:v>-2.0151922469877919</c:v>
              </c:pt>
              <c:pt idx="81">
                <c:v>-2.0123116594048622</c:v>
              </c:pt>
              <c:pt idx="82">
                <c:v>-2.0097319312584299</c:v>
              </c:pt>
              <c:pt idx="83">
                <c:v>-2.0074538483586779</c:v>
              </c:pt>
              <c:pt idx="84">
                <c:v>-2.0054781046317265</c:v>
              </c:pt>
              <c:pt idx="85">
                <c:v>-2.0038053019082547</c:v>
              </c:pt>
              <c:pt idx="86">
                <c:v>-2.0024359497401756</c:v>
              </c:pt>
              <c:pt idx="87">
                <c:v>-2.0013704652454263</c:v>
              </c:pt>
              <c:pt idx="88">
                <c:v>-2.0006091729809041</c:v>
              </c:pt>
              <c:pt idx="89">
                <c:v>-2.000152304843609</c:v>
              </c:pt>
              <c:pt idx="90">
                <c:v>-2</c:v>
              </c:pt>
              <c:pt idx="91">
                <c:v>-2.000152304843609</c:v>
              </c:pt>
              <c:pt idx="92">
                <c:v>-2.0006091729809041</c:v>
              </c:pt>
              <c:pt idx="93">
                <c:v>-2.0013704652454263</c:v>
              </c:pt>
              <c:pt idx="94">
                <c:v>-2.0024359497401756</c:v>
              </c:pt>
              <c:pt idx="95">
                <c:v>-2.0038053019082547</c:v>
              </c:pt>
              <c:pt idx="96">
                <c:v>-2.0054781046317265</c:v>
              </c:pt>
              <c:pt idx="97">
                <c:v>-2.0074538483586779</c:v>
              </c:pt>
              <c:pt idx="98">
                <c:v>-2.0097319312584299</c:v>
              </c:pt>
              <c:pt idx="99">
                <c:v>-2.0123116594048622</c:v>
              </c:pt>
              <c:pt idx="100">
                <c:v>-2.0151922469877919</c:v>
              </c:pt>
              <c:pt idx="101">
                <c:v>-2.0183728165523362</c:v>
              </c:pt>
              <c:pt idx="102">
                <c:v>-2.0218523992661943</c:v>
              </c:pt>
              <c:pt idx="103">
                <c:v>-2.0256299352147646</c:v>
              </c:pt>
              <c:pt idx="104">
                <c:v>-2.0297042737240036</c:v>
              </c:pt>
              <c:pt idx="105">
                <c:v>-2.0340741737109318</c:v>
              </c:pt>
              <c:pt idx="106">
                <c:v>-2.0387383040616811</c:v>
              </c:pt>
              <c:pt idx="107">
                <c:v>-2.0436952440369645</c:v>
              </c:pt>
              <c:pt idx="108">
                <c:v>-2.0489434837048464</c:v>
              </c:pt>
              <c:pt idx="109">
                <c:v>-2.054481424400683</c:v>
              </c:pt>
              <c:pt idx="110">
                <c:v>-2.0603073792140916</c:v>
              </c:pt>
              <c:pt idx="111">
                <c:v>-2.0664195735027984</c:v>
              </c:pt>
              <c:pt idx="112">
                <c:v>-2.0728161454332126</c:v>
              </c:pt>
              <c:pt idx="113">
                <c:v>-2.0794951465475595</c:v>
              </c:pt>
              <c:pt idx="114">
                <c:v>-2.0864545423573988</c:v>
              </c:pt>
              <c:pt idx="115">
                <c:v>-2.09369221296335</c:v>
              </c:pt>
              <c:pt idx="116">
                <c:v>-2.1012059537008332</c:v>
              </c:pt>
              <c:pt idx="117">
                <c:v>-2.1089934758116322</c:v>
              </c:pt>
              <c:pt idx="118">
                <c:v>-2.117052407141073</c:v>
              </c:pt>
              <c:pt idx="119">
                <c:v>-2.125380292860604</c:v>
              </c:pt>
              <c:pt idx="120">
                <c:v>-2.1339745962155612</c:v>
              </c:pt>
              <c:pt idx="121">
                <c:v>-2.1428326992978874</c:v>
              </c:pt>
              <c:pt idx="122">
                <c:v>-2.1519519038435737</c:v>
              </c:pt>
              <c:pt idx="123">
                <c:v>-2.1613294320545759</c:v>
              </c:pt>
              <c:pt idx="124">
                <c:v>-2.1709624274449584</c:v>
              </c:pt>
              <c:pt idx="125">
                <c:v>-2.1808479557110081</c:v>
              </c:pt>
              <c:pt idx="126">
                <c:v>-2.1909830056250525</c:v>
              </c:pt>
              <c:pt idx="127">
                <c:v>-2.2013644899527067</c:v>
              </c:pt>
              <c:pt idx="128">
                <c:v>-2.2119892463932782</c:v>
              </c:pt>
              <c:pt idx="129">
                <c:v>-2.2228540385430291</c:v>
              </c:pt>
              <c:pt idx="130">
                <c:v>-2.2339555568810221</c:v>
              </c:pt>
              <c:pt idx="131">
                <c:v>-2.2452904197772279</c:v>
              </c:pt>
              <c:pt idx="132">
                <c:v>-2.256855174522606</c:v>
              </c:pt>
              <c:pt idx="133">
                <c:v>-2.2686462983808293</c:v>
              </c:pt>
              <c:pt idx="134">
                <c:v>-2.2806601996613489</c:v>
              </c:pt>
              <c:pt idx="135">
                <c:v>-2.2928932188134525</c:v>
              </c:pt>
              <c:pt idx="136">
                <c:v>-2.3053416295410027</c:v>
              </c:pt>
              <c:pt idx="137">
                <c:v>-2.3180016399375014</c:v>
              </c:pt>
              <c:pt idx="138">
                <c:v>-2.3308693936411418</c:v>
              </c:pt>
              <c:pt idx="139">
                <c:v>-2.3439409710094927</c:v>
              </c:pt>
              <c:pt idx="140">
                <c:v>-2.3572123903134603</c:v>
              </c:pt>
              <c:pt idx="141">
                <c:v>-2.3706796089501627</c:v>
              </c:pt>
              <c:pt idx="142">
                <c:v>-2.3843385246743418</c:v>
              </c:pt>
              <c:pt idx="143">
                <c:v>-2.398184976847952</c:v>
              </c:pt>
              <c:pt idx="144">
                <c:v>-2.4122147477075266</c:v>
              </c:pt>
              <c:pt idx="145">
                <c:v>-2.4264235636489535</c:v>
              </c:pt>
              <c:pt idx="146">
                <c:v>-2.440807096529253</c:v>
              </c:pt>
              <c:pt idx="147">
                <c:v>-2.4553609649849726</c:v>
              </c:pt>
              <c:pt idx="148">
                <c:v>-2.4700807357667953</c:v>
              </c:pt>
              <c:pt idx="149">
                <c:v>-2.4849619250899457</c:v>
              </c:pt>
              <c:pt idx="150">
                <c:v>-2.5</c:v>
              </c:pt>
              <c:pt idx="151">
                <c:v>-2.5151903797536628</c:v>
              </c:pt>
              <c:pt idx="152">
                <c:v>-2.5305284372141092</c:v>
              </c:pt>
              <c:pt idx="153">
                <c:v>-2.5460095002604533</c:v>
              </c:pt>
              <c:pt idx="154">
                <c:v>-2.5616288532109222</c:v>
              </c:pt>
              <c:pt idx="155">
                <c:v>-2.5773817382593007</c:v>
              </c:pt>
              <c:pt idx="156">
                <c:v>-2.5932633569241994</c:v>
              </c:pt>
              <c:pt idx="157">
                <c:v>-2.6092688715107264</c:v>
              </c:pt>
              <c:pt idx="158">
                <c:v>-2.6253934065840876</c:v>
              </c:pt>
              <c:pt idx="159">
                <c:v>-2.6416320504547</c:v>
              </c:pt>
              <c:pt idx="160">
                <c:v>-2.6579798566743311</c:v>
              </c:pt>
              <c:pt idx="161">
                <c:v>-2.6744318455428435</c:v>
              </c:pt>
              <c:pt idx="162">
                <c:v>-2.6909830056250525</c:v>
              </c:pt>
              <c:pt idx="163">
                <c:v>-2.7076282952772628</c:v>
              </c:pt>
              <c:pt idx="164">
                <c:v>-2.7243626441830009</c:v>
              </c:pt>
              <c:pt idx="165">
                <c:v>-2.7411809548974788</c:v>
              </c:pt>
              <c:pt idx="166">
                <c:v>-2.7580781044003322</c:v>
              </c:pt>
              <c:pt idx="167">
                <c:v>-2.7750489456561347</c:v>
              </c:pt>
              <c:pt idx="168">
                <c:v>-2.7920883091822408</c:v>
              </c:pt>
              <c:pt idx="169">
                <c:v>-2.8091910046234552</c:v>
              </c:pt>
              <c:pt idx="170">
                <c:v>-2.8263518223330699</c:v>
              </c:pt>
              <c:pt idx="171">
                <c:v>-2.8435655349597688</c:v>
              </c:pt>
              <c:pt idx="172">
                <c:v>-2.8608268990399344</c:v>
              </c:pt>
              <c:pt idx="173">
                <c:v>-2.8781306565948523</c:v>
              </c:pt>
              <c:pt idx="174">
                <c:v>-2.8954715367323463</c:v>
              </c:pt>
              <c:pt idx="175">
                <c:v>-2.9128442572523419</c:v>
              </c:pt>
              <c:pt idx="176">
                <c:v>-2.9302435262558744</c:v>
              </c:pt>
              <c:pt idx="177">
                <c:v>-2.9476640437570563</c:v>
              </c:pt>
              <c:pt idx="178">
                <c:v>-2.9651005032974989</c:v>
              </c:pt>
              <c:pt idx="179">
                <c:v>-2.9825475935627166</c:v>
              </c:pt>
              <c:pt idx="180">
                <c:v>-3</c:v>
              </c:pt>
              <c:pt idx="181">
                <c:v>-3.0174524064372834</c:v>
              </c:pt>
              <c:pt idx="182">
                <c:v>-3.0348994967025007</c:v>
              </c:pt>
              <c:pt idx="183">
                <c:v>-3.0523359562429437</c:v>
              </c:pt>
              <c:pt idx="184">
                <c:v>-3.0697564737441252</c:v>
              </c:pt>
              <c:pt idx="185">
                <c:v>-3.0871557427476581</c:v>
              </c:pt>
              <c:pt idx="186">
                <c:v>-3.1045284632676533</c:v>
              </c:pt>
              <c:pt idx="187">
                <c:v>-3.1218693434051472</c:v>
              </c:pt>
              <c:pt idx="188">
                <c:v>-3.1391731009600656</c:v>
              </c:pt>
              <c:pt idx="189">
                <c:v>-3.1564344650402307</c:v>
              </c:pt>
              <c:pt idx="190">
                <c:v>-3.1736481776669301</c:v>
              </c:pt>
              <c:pt idx="191">
                <c:v>-3.1908089953765448</c:v>
              </c:pt>
              <c:pt idx="192">
                <c:v>-3.2079116908177592</c:v>
              </c:pt>
              <c:pt idx="193">
                <c:v>-3.2249510543438649</c:v>
              </c:pt>
              <c:pt idx="194">
                <c:v>-3.2419218955996674</c:v>
              </c:pt>
              <c:pt idx="195">
                <c:v>-3.2588190451025207</c:v>
              </c:pt>
              <c:pt idx="196">
                <c:v>-3.2756373558169991</c:v>
              </c:pt>
              <c:pt idx="197">
                <c:v>-3.2923717047227368</c:v>
              </c:pt>
              <c:pt idx="198">
                <c:v>-3.3090169943749475</c:v>
              </c:pt>
              <c:pt idx="199">
                <c:v>-3.3255681544571565</c:v>
              </c:pt>
              <c:pt idx="200">
                <c:v>-3.3420201433256684</c:v>
              </c:pt>
              <c:pt idx="201">
                <c:v>-3.3583679495453</c:v>
              </c:pt>
              <c:pt idx="202">
                <c:v>-3.374606593415912</c:v>
              </c:pt>
              <c:pt idx="203">
                <c:v>-3.3907311284892736</c:v>
              </c:pt>
              <c:pt idx="204">
                <c:v>-3.4067366430758002</c:v>
              </c:pt>
              <c:pt idx="205">
                <c:v>-3.4226182617406993</c:v>
              </c:pt>
              <c:pt idx="206">
                <c:v>-3.4383711467890774</c:v>
              </c:pt>
              <c:pt idx="207">
                <c:v>-3.4539904997395467</c:v>
              </c:pt>
              <c:pt idx="208">
                <c:v>-3.4694715627858903</c:v>
              </c:pt>
              <c:pt idx="209">
                <c:v>-3.4848096202463368</c:v>
              </c:pt>
              <c:pt idx="210">
                <c:v>-3.4999999999999996</c:v>
              </c:pt>
              <c:pt idx="211">
                <c:v>-3.5150380749100543</c:v>
              </c:pt>
              <c:pt idx="212">
                <c:v>-3.5299192642332047</c:v>
              </c:pt>
              <c:pt idx="213">
                <c:v>-3.544639035015027</c:v>
              </c:pt>
              <c:pt idx="214">
                <c:v>-3.5591929034707466</c:v>
              </c:pt>
              <c:pt idx="215">
                <c:v>-3.573576436351046</c:v>
              </c:pt>
              <c:pt idx="216">
                <c:v>-3.5877852522924729</c:v>
              </c:pt>
              <c:pt idx="217">
                <c:v>-3.601815023152048</c:v>
              </c:pt>
              <c:pt idx="218">
                <c:v>-3.6156614753256582</c:v>
              </c:pt>
              <c:pt idx="219">
                <c:v>-3.6293203910498373</c:v>
              </c:pt>
              <c:pt idx="220">
                <c:v>-3.6427876096865393</c:v>
              </c:pt>
              <c:pt idx="221">
                <c:v>-3.6560590289905068</c:v>
              </c:pt>
              <c:pt idx="222">
                <c:v>-3.6691306063588582</c:v>
              </c:pt>
              <c:pt idx="223">
                <c:v>-3.6819983600624981</c:v>
              </c:pt>
              <c:pt idx="224">
                <c:v>-3.6946583704589973</c:v>
              </c:pt>
              <c:pt idx="225">
                <c:v>-3.7071067811865475</c:v>
              </c:pt>
              <c:pt idx="226">
                <c:v>-3.7193398003386511</c:v>
              </c:pt>
              <c:pt idx="227">
                <c:v>-3.7313537016191702</c:v>
              </c:pt>
              <c:pt idx="228">
                <c:v>-3.743144825477394</c:v>
              </c:pt>
              <c:pt idx="229">
                <c:v>-3.7547095802227721</c:v>
              </c:pt>
              <c:pt idx="230">
                <c:v>-3.7660444431189779</c:v>
              </c:pt>
              <c:pt idx="231">
                <c:v>-3.7771459614569705</c:v>
              </c:pt>
              <c:pt idx="232">
                <c:v>-3.7880107536067222</c:v>
              </c:pt>
              <c:pt idx="233">
                <c:v>-3.7986355100472928</c:v>
              </c:pt>
              <c:pt idx="234">
                <c:v>-3.8090169943749475</c:v>
              </c:pt>
              <c:pt idx="235">
                <c:v>-3.8191520442889915</c:v>
              </c:pt>
              <c:pt idx="236">
                <c:v>-3.8290375725550412</c:v>
              </c:pt>
              <c:pt idx="237">
                <c:v>-3.8386705679454241</c:v>
              </c:pt>
              <c:pt idx="238">
                <c:v>-3.8480480961564258</c:v>
              </c:pt>
              <c:pt idx="239">
                <c:v>-3.8571673007021121</c:v>
              </c:pt>
              <c:pt idx="240">
                <c:v>-3.8660254037844384</c:v>
              </c:pt>
              <c:pt idx="241">
                <c:v>-3.874619707139396</c:v>
              </c:pt>
              <c:pt idx="242">
                <c:v>-3.882947592858927</c:v>
              </c:pt>
              <c:pt idx="243">
                <c:v>-3.8910065241883678</c:v>
              </c:pt>
              <c:pt idx="244">
                <c:v>-3.8987940462991668</c:v>
              </c:pt>
              <c:pt idx="245">
                <c:v>-3.9063077870366496</c:v>
              </c:pt>
              <c:pt idx="246">
                <c:v>-3.9135454576426012</c:v>
              </c:pt>
              <c:pt idx="247">
                <c:v>-3.9205048534524405</c:v>
              </c:pt>
              <c:pt idx="248">
                <c:v>-3.9271838545667874</c:v>
              </c:pt>
              <c:pt idx="249">
                <c:v>-3.9335804264972016</c:v>
              </c:pt>
              <c:pt idx="250">
                <c:v>-3.9396926207859084</c:v>
              </c:pt>
              <c:pt idx="251">
                <c:v>-3.945518575599317</c:v>
              </c:pt>
              <c:pt idx="252">
                <c:v>-3.9510565162951536</c:v>
              </c:pt>
              <c:pt idx="253">
                <c:v>-3.9563047559630355</c:v>
              </c:pt>
              <c:pt idx="254">
                <c:v>-3.9612616959383189</c:v>
              </c:pt>
              <c:pt idx="255">
                <c:v>-3.9659258262890682</c:v>
              </c:pt>
              <c:pt idx="256">
                <c:v>-3.9702957262759964</c:v>
              </c:pt>
              <c:pt idx="257">
                <c:v>-3.9743700647852354</c:v>
              </c:pt>
              <c:pt idx="258">
                <c:v>-3.9781476007338057</c:v>
              </c:pt>
              <c:pt idx="259">
                <c:v>-3.9816271834476638</c:v>
              </c:pt>
              <c:pt idx="260">
                <c:v>-3.9848077530122081</c:v>
              </c:pt>
              <c:pt idx="261">
                <c:v>-3.9876883405951378</c:v>
              </c:pt>
              <c:pt idx="262">
                <c:v>-3.9902680687415701</c:v>
              </c:pt>
              <c:pt idx="263">
                <c:v>-3.9925461516413221</c:v>
              </c:pt>
              <c:pt idx="264">
                <c:v>-3.9945218953682735</c:v>
              </c:pt>
              <c:pt idx="265">
                <c:v>-3.9961946980917453</c:v>
              </c:pt>
              <c:pt idx="266">
                <c:v>-3.9975640502598244</c:v>
              </c:pt>
              <c:pt idx="267">
                <c:v>-3.9986295347545737</c:v>
              </c:pt>
              <c:pt idx="268">
                <c:v>-3.9993908270190959</c:v>
              </c:pt>
              <c:pt idx="269">
                <c:v>-3.999847695156391</c:v>
              </c:pt>
              <c:pt idx="270">
                <c:v>-4</c:v>
              </c:pt>
              <c:pt idx="271">
                <c:v>-3.999847695156391</c:v>
              </c:pt>
              <c:pt idx="272">
                <c:v>-3.9993908270190959</c:v>
              </c:pt>
              <c:pt idx="273">
                <c:v>-3.9986295347545737</c:v>
              </c:pt>
              <c:pt idx="274">
                <c:v>-3.9975640502598244</c:v>
              </c:pt>
              <c:pt idx="275">
                <c:v>-3.9961946980917453</c:v>
              </c:pt>
              <c:pt idx="276">
                <c:v>-3.9945218953682735</c:v>
              </c:pt>
              <c:pt idx="277">
                <c:v>-3.9925461516413221</c:v>
              </c:pt>
              <c:pt idx="278">
                <c:v>-3.9902680687415701</c:v>
              </c:pt>
              <c:pt idx="279">
                <c:v>-3.9876883405951378</c:v>
              </c:pt>
              <c:pt idx="280">
                <c:v>-3.9848077530122081</c:v>
              </c:pt>
              <c:pt idx="281">
                <c:v>-3.9816271834476642</c:v>
              </c:pt>
              <c:pt idx="282">
                <c:v>-3.9781476007338057</c:v>
              </c:pt>
              <c:pt idx="283">
                <c:v>-3.9743700647852354</c:v>
              </c:pt>
              <c:pt idx="284">
                <c:v>-3.9702957262759968</c:v>
              </c:pt>
              <c:pt idx="285">
                <c:v>-3.9659258262890686</c:v>
              </c:pt>
              <c:pt idx="286">
                <c:v>-3.9612616959383189</c:v>
              </c:pt>
              <c:pt idx="287">
                <c:v>-3.9563047559630355</c:v>
              </c:pt>
              <c:pt idx="288">
                <c:v>-3.9510565162951536</c:v>
              </c:pt>
              <c:pt idx="289">
                <c:v>-3.945518575599317</c:v>
              </c:pt>
              <c:pt idx="290">
                <c:v>-3.9396926207859084</c:v>
              </c:pt>
              <c:pt idx="291">
                <c:v>-3.9335804264972016</c:v>
              </c:pt>
              <c:pt idx="292">
                <c:v>-3.9271838545667874</c:v>
              </c:pt>
              <c:pt idx="293">
                <c:v>-3.9205048534524405</c:v>
              </c:pt>
              <c:pt idx="294">
                <c:v>-3.9135454576426012</c:v>
              </c:pt>
              <c:pt idx="295">
                <c:v>-3.90630778703665</c:v>
              </c:pt>
              <c:pt idx="296">
                <c:v>-3.8987940462991668</c:v>
              </c:pt>
              <c:pt idx="297">
                <c:v>-3.8910065241883682</c:v>
              </c:pt>
              <c:pt idx="298">
                <c:v>-3.882947592858927</c:v>
              </c:pt>
              <c:pt idx="299">
                <c:v>-3.874619707139396</c:v>
              </c:pt>
              <c:pt idx="300">
                <c:v>-3.8660254037844384</c:v>
              </c:pt>
              <c:pt idx="301">
                <c:v>-3.8571673007021126</c:v>
              </c:pt>
              <c:pt idx="302">
                <c:v>-3.8480480961564263</c:v>
              </c:pt>
              <c:pt idx="303">
                <c:v>-3.8386705679454245</c:v>
              </c:pt>
              <c:pt idx="304">
                <c:v>-3.8290375725550416</c:v>
              </c:pt>
              <c:pt idx="305">
                <c:v>-3.8191520442889919</c:v>
              </c:pt>
              <c:pt idx="306">
                <c:v>-3.8090169943749475</c:v>
              </c:pt>
              <c:pt idx="307">
                <c:v>-3.7986355100472933</c:v>
              </c:pt>
              <c:pt idx="308">
                <c:v>-3.7880107536067222</c:v>
              </c:pt>
              <c:pt idx="309">
                <c:v>-3.7771459614569709</c:v>
              </c:pt>
              <c:pt idx="310">
                <c:v>-3.7660444431189779</c:v>
              </c:pt>
              <c:pt idx="311">
                <c:v>-3.7547095802227721</c:v>
              </c:pt>
              <c:pt idx="312">
                <c:v>-3.7431448254773945</c:v>
              </c:pt>
              <c:pt idx="313">
                <c:v>-3.7313537016191702</c:v>
              </c:pt>
              <c:pt idx="314">
                <c:v>-3.7193398003386511</c:v>
              </c:pt>
              <c:pt idx="315">
                <c:v>-3.7071067811865479</c:v>
              </c:pt>
              <c:pt idx="316">
                <c:v>-3.6946583704589977</c:v>
              </c:pt>
              <c:pt idx="317">
                <c:v>-3.681998360062499</c:v>
              </c:pt>
              <c:pt idx="318">
                <c:v>-3.6691306063588582</c:v>
              </c:pt>
              <c:pt idx="319">
                <c:v>-3.6560590289905073</c:v>
              </c:pt>
              <c:pt idx="320">
                <c:v>-3.6427876096865397</c:v>
              </c:pt>
              <c:pt idx="321">
                <c:v>-3.6293203910498377</c:v>
              </c:pt>
              <c:pt idx="322">
                <c:v>-3.6156614753256582</c:v>
              </c:pt>
              <c:pt idx="323">
                <c:v>-3.6018150231520485</c:v>
              </c:pt>
              <c:pt idx="324">
                <c:v>-3.5877852522924734</c:v>
              </c:pt>
              <c:pt idx="325">
                <c:v>-3.5735764363510465</c:v>
              </c:pt>
              <c:pt idx="326">
                <c:v>-3.5591929034707475</c:v>
              </c:pt>
              <c:pt idx="327">
                <c:v>-3.544639035015027</c:v>
              </c:pt>
              <c:pt idx="328">
                <c:v>-3.5299192642332051</c:v>
              </c:pt>
              <c:pt idx="329">
                <c:v>-3.5150380749100547</c:v>
              </c:pt>
              <c:pt idx="330">
                <c:v>-3.5000000000000004</c:v>
              </c:pt>
              <c:pt idx="331">
                <c:v>-3.4848096202463368</c:v>
              </c:pt>
              <c:pt idx="332">
                <c:v>-3.4694715627858908</c:v>
              </c:pt>
              <c:pt idx="333">
                <c:v>-3.4539904997395467</c:v>
              </c:pt>
              <c:pt idx="334">
                <c:v>-3.4383711467890778</c:v>
              </c:pt>
              <c:pt idx="335">
                <c:v>-3.4226182617407002</c:v>
              </c:pt>
              <c:pt idx="336">
                <c:v>-3.4067366430758002</c:v>
              </c:pt>
              <c:pt idx="337">
                <c:v>-3.390731128489274</c:v>
              </c:pt>
              <c:pt idx="338">
                <c:v>-3.3746065934159124</c:v>
              </c:pt>
              <c:pt idx="339">
                <c:v>-3.3583679495453009</c:v>
              </c:pt>
              <c:pt idx="340">
                <c:v>-3.3420201433256684</c:v>
              </c:pt>
              <c:pt idx="341">
                <c:v>-3.3255681544571569</c:v>
              </c:pt>
              <c:pt idx="342">
                <c:v>-3.3090169943749475</c:v>
              </c:pt>
              <c:pt idx="343">
                <c:v>-3.2923717047227372</c:v>
              </c:pt>
              <c:pt idx="344">
                <c:v>-3.2756373558169996</c:v>
              </c:pt>
              <c:pt idx="345">
                <c:v>-3.2588190451025207</c:v>
              </c:pt>
              <c:pt idx="346">
                <c:v>-3.2419218955996678</c:v>
              </c:pt>
              <c:pt idx="347">
                <c:v>-3.2249510543438653</c:v>
              </c:pt>
              <c:pt idx="348">
                <c:v>-3.2079116908177601</c:v>
              </c:pt>
              <c:pt idx="349">
                <c:v>-3.1908089953765448</c:v>
              </c:pt>
              <c:pt idx="350">
                <c:v>-3.1736481776669305</c:v>
              </c:pt>
              <c:pt idx="351">
                <c:v>-3.1564344650402312</c:v>
              </c:pt>
              <c:pt idx="352">
                <c:v>-3.1391731009600661</c:v>
              </c:pt>
              <c:pt idx="353">
                <c:v>-3.1218693434051481</c:v>
              </c:pt>
              <c:pt idx="354">
                <c:v>-3.1045284632676533</c:v>
              </c:pt>
              <c:pt idx="355">
                <c:v>-3.0871557427476581</c:v>
              </c:pt>
              <c:pt idx="356">
                <c:v>-3.0697564737441256</c:v>
              </c:pt>
              <c:pt idx="357">
                <c:v>-3.0523359562429442</c:v>
              </c:pt>
              <c:pt idx="358">
                <c:v>-3.0348994967025007</c:v>
              </c:pt>
              <c:pt idx="359">
                <c:v>-3.0174524064372834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64-EA17-4058-B211-0A4D6288AFCD}"/>
            </c:ext>
          </c:extLst>
        </c:ser>
        <c:ser>
          <c:idx val="2"/>
          <c:order val="2"/>
          <c:spPr>
            <a:ln>
              <a:solidFill>
                <a:srgbClr val="000000"/>
              </a:solidFill>
            </a:ln>
          </c:spPr>
          <c:marker>
            <c:symbol val="none"/>
          </c:marker>
          <c:xVal>
            <c:numLit>
              <c:formatCode>General</c:formatCode>
              <c:ptCount val="5"/>
              <c:pt idx="0">
                <c:v>-2</c:v>
              </c:pt>
              <c:pt idx="1">
                <c:v>-2</c:v>
              </c:pt>
              <c:pt idx="2">
                <c:v>2</c:v>
              </c:pt>
              <c:pt idx="3">
                <c:v>2</c:v>
              </c:pt>
              <c:pt idx="4">
                <c:v>-2</c:v>
              </c:pt>
            </c:numLit>
          </c:xVal>
          <c:yVal>
            <c:numLit>
              <c:formatCode>General</c:formatCode>
              <c:ptCount val="5"/>
              <c:pt idx="0">
                <c:v>-5</c:v>
              </c:pt>
              <c:pt idx="1">
                <c:v>5</c:v>
              </c:pt>
              <c:pt idx="2">
                <c:v>5</c:v>
              </c:pt>
              <c:pt idx="3">
                <c:v>-5</c:v>
              </c:pt>
              <c:pt idx="4">
                <c:v>-5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65-EA17-4058-B211-0A4D6288AFCD}"/>
            </c:ext>
          </c:extLst>
        </c:ser>
        <c:ser>
          <c:idx val="3"/>
          <c:order val="3"/>
          <c:spPr>
            <a:ln>
              <a:solidFill>
                <a:srgbClr val="000000"/>
              </a:solidFill>
            </a:ln>
          </c:spPr>
          <c:marker>
            <c:symbol val="none"/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0</c:v>
              </c:pt>
            </c:numLit>
          </c:xVal>
          <c:yVal>
            <c:numLit>
              <c:formatCode>General</c:formatCode>
              <c:ptCount val="2"/>
              <c:pt idx="0">
                <c:v>1.75</c:v>
              </c:pt>
              <c:pt idx="1">
                <c:v>4.25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66-EA17-4058-B211-0A4D6288AFCD}"/>
            </c:ext>
          </c:extLst>
        </c:ser>
        <c:ser>
          <c:idx val="4"/>
          <c:order val="4"/>
          <c:spPr>
            <a:ln>
              <a:solidFill>
                <a:srgbClr val="000000"/>
              </a:solidFill>
            </a:ln>
          </c:spPr>
          <c:marker>
            <c:symbol val="none"/>
          </c:marker>
          <c:xVal>
            <c:numLit>
              <c:formatCode>General</c:formatCode>
              <c:ptCount val="2"/>
              <c:pt idx="0">
                <c:v>-1.25</c:v>
              </c:pt>
              <c:pt idx="1">
                <c:v>1.25</c:v>
              </c:pt>
            </c:numLit>
          </c:xVal>
          <c:yVal>
            <c:numLit>
              <c:formatCode>General</c:formatCode>
              <c:ptCount val="2"/>
              <c:pt idx="0">
                <c:v>3</c:v>
              </c:pt>
              <c:pt idx="1">
                <c:v>3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67-EA17-4058-B211-0A4D6288AFCD}"/>
            </c:ext>
          </c:extLst>
        </c:ser>
        <c:ser>
          <c:idx val="5"/>
          <c:order val="5"/>
          <c:spPr>
            <a:ln>
              <a:solidFill>
                <a:srgbClr val="000000"/>
              </a:solidFill>
            </a:ln>
          </c:spPr>
          <c:marker>
            <c:symbol val="none"/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0</c:v>
              </c:pt>
            </c:numLit>
          </c:xVal>
          <c:yVal>
            <c:numLit>
              <c:formatCode>General</c:formatCode>
              <c:ptCount val="2"/>
              <c:pt idx="0">
                <c:v>-4.25</c:v>
              </c:pt>
              <c:pt idx="1">
                <c:v>-1.75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68-EA17-4058-B211-0A4D6288AFCD}"/>
            </c:ext>
          </c:extLst>
        </c:ser>
        <c:ser>
          <c:idx val="6"/>
          <c:order val="6"/>
          <c:spPr>
            <a:ln>
              <a:solidFill>
                <a:srgbClr val="000000"/>
              </a:solidFill>
            </a:ln>
          </c:spPr>
          <c:marker>
            <c:symbol val="none"/>
          </c:marker>
          <c:xVal>
            <c:numLit>
              <c:formatCode>General</c:formatCode>
              <c:ptCount val="2"/>
              <c:pt idx="0">
                <c:v>-1.25</c:v>
              </c:pt>
              <c:pt idx="1">
                <c:v>1.25</c:v>
              </c:pt>
            </c:numLit>
          </c:xVal>
          <c:yVal>
            <c:numLit>
              <c:formatCode>General</c:formatCode>
              <c:ptCount val="2"/>
              <c:pt idx="0">
                <c:v>-3</c:v>
              </c:pt>
              <c:pt idx="1">
                <c:v>-3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69-EA17-4058-B211-0A4D6288AFCD}"/>
            </c:ext>
          </c:extLst>
        </c:ser>
        <c:ser>
          <c:idx val="7"/>
          <c:order val="7"/>
          <c:spPr>
            <a:ln w="19050">
              <a:solidFill>
                <a:srgbClr val="000000"/>
              </a:solidFill>
              <a:tailEnd type="triangle"/>
            </a:ln>
          </c:spPr>
          <c:marker>
            <c:symbol val="none"/>
          </c:marker>
          <c:dLbls>
            <c:dLbl>
              <c:idx val="1"/>
              <c:layout>
                <c:manualLayout>
                  <c:x val="-1.3219440557859822E-2"/>
                  <c:y val="-4.954658412121745E-2"/>
                </c:manualLayout>
              </c:layout>
              <c:tx>
                <c:rich>
                  <a:bodyPr wrap="square" lIns="38100" tIns="19050" rIns="38100" bIns="19050" anchor="ctr">
                    <a:spAutoFit/>
                  </a:bodyPr>
                  <a:lstStyle/>
                  <a:p>
                    <a:pPr>
                      <a:defRPr sz="1600"/>
                    </a:pPr>
                    <a:r>
                      <a:rPr lang="en-US"/>
                      <a:t>My</a:t>
                    </a:r>
                  </a:p>
                </c:rich>
              </c:tx>
              <c:spPr>
                <a:noFill/>
                <a:ln>
                  <a:noFill/>
                </a:ln>
                <a:effectLst/>
              </c:sp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6B-EA17-4058-B211-0A4D6288AFCD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Lit>
              <c:formatCode>General</c:formatCode>
              <c:ptCount val="2"/>
              <c:pt idx="0">
                <c:v>0</c:v>
              </c:pt>
              <c:pt idx="1">
                <c:v>0</c:v>
              </c:pt>
            </c:numLit>
          </c:xVal>
          <c:yVal>
            <c:numLit>
              <c:formatCode>General</c:formatCode>
              <c:ptCount val="2"/>
              <c:pt idx="0">
                <c:v>0</c:v>
              </c:pt>
              <c:pt idx="1">
                <c:v>7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6A-EA17-4058-B211-0A4D6288AFCD}"/>
            </c:ext>
          </c:extLst>
        </c:ser>
        <c:ser>
          <c:idx val="8"/>
          <c:order val="8"/>
          <c:spPr>
            <a:ln w="19050">
              <a:solidFill>
                <a:srgbClr val="000000"/>
              </a:solidFill>
              <a:tailEnd type="triangle"/>
            </a:ln>
          </c:spPr>
          <c:marker>
            <c:symbol val="none"/>
          </c:marker>
          <c:dLbls>
            <c:dLbl>
              <c:idx val="1"/>
              <c:layout>
                <c:manualLayout>
                  <c:x val="0"/>
                  <c:y val="3.5464384473022283E-2"/>
                </c:manualLayout>
              </c:layout>
              <c:tx>
                <c:rich>
                  <a:bodyPr wrap="square" lIns="38100" tIns="19050" rIns="38100" bIns="19050" anchor="ctr">
                    <a:spAutoFit/>
                  </a:bodyPr>
                  <a:lstStyle/>
                  <a:p>
                    <a:pPr>
                      <a:defRPr sz="1600"/>
                    </a:pPr>
                    <a:r>
                      <a:rPr lang="en-US"/>
                      <a:t>Mx</a:t>
                    </a:r>
                  </a:p>
                </c:rich>
              </c:tx>
              <c:spPr>
                <a:noFill/>
                <a:ln>
                  <a:noFill/>
                </a:ln>
                <a:effectLst/>
              </c:sp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6D-EA17-4058-B211-0A4D6288AFCD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Lit>
              <c:formatCode>General</c:formatCode>
              <c:ptCount val="2"/>
              <c:pt idx="0">
                <c:v>0</c:v>
              </c:pt>
              <c:pt idx="1">
                <c:v>4</c:v>
              </c:pt>
            </c:numLit>
          </c:xVal>
          <c:yVal>
            <c:numLit>
              <c:formatCode>General</c:formatCode>
              <c:ptCount val="2"/>
              <c:pt idx="0">
                <c:v>0</c:v>
              </c:pt>
              <c:pt idx="1">
                <c:v>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6C-EA17-4058-B211-0A4D6288AFC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61164159"/>
        <c:axId val="1761172063"/>
      </c:scatterChart>
      <c:valAx>
        <c:axId val="1761164159"/>
        <c:scaling>
          <c:orientation val="minMax"/>
          <c:max val="6"/>
          <c:min val="-6"/>
        </c:scaling>
        <c:delete val="0"/>
        <c:axPos val="b"/>
        <c:numFmt formatCode=";;;" sourceLinked="0"/>
        <c:majorTickMark val="out"/>
        <c:minorTickMark val="none"/>
        <c:tickLblPos val="nextTo"/>
        <c:spPr>
          <a:noFill/>
          <a:ln w="6350" cap="flat" cmpd="sng" algn="ctr">
            <a:noFill/>
            <a:prstDash val="solid"/>
            <a:round/>
          </a:ln>
          <a:effectLst/>
          <a:extLst>
            <a:ext uri="{91240B29-F687-4F45-9708-019B960494DF}">
              <a14:hiddenLine xmlns:a14="http://schemas.microsoft.com/office/drawing/2010/main" w="6350" cap="flat" cmpd="sng" algn="ctr">
                <a:solidFill>
                  <a:sysClr val="windowText" lastClr="000000">
                    <a:tint val="75000"/>
                  </a:sysClr>
                </a:solidFill>
                <a:prstDash val="solid"/>
                <a:round/>
              </a14:hiddenLine>
            </a:ext>
          </a:extLst>
        </c:spPr>
        <c:crossAx val="1761172063"/>
        <c:crosses val="autoZero"/>
        <c:crossBetween val="midCat"/>
      </c:valAx>
      <c:valAx>
        <c:axId val="1761172063"/>
        <c:scaling>
          <c:orientation val="minMax"/>
          <c:max val="8"/>
          <c:min val="-8"/>
        </c:scaling>
        <c:delete val="0"/>
        <c:axPos val="l"/>
        <c:numFmt formatCode=";;;" sourceLinked="0"/>
        <c:majorTickMark val="out"/>
        <c:minorTickMark val="none"/>
        <c:tickLblPos val="nextTo"/>
        <c:spPr>
          <a:noFill/>
          <a:ln w="6350" cap="flat" cmpd="sng" algn="ctr">
            <a:noFill/>
            <a:prstDash val="solid"/>
            <a:round/>
          </a:ln>
          <a:effectLst/>
          <a:extLst>
            <a:ext uri="{91240B29-F687-4F45-9708-019B960494DF}">
              <a14:hiddenLine xmlns:a14="http://schemas.microsoft.com/office/drawing/2010/main" w="6350" cap="flat" cmpd="sng" algn="ctr">
                <a:solidFill>
                  <a:sysClr val="windowText" lastClr="000000">
                    <a:tint val="75000"/>
                  </a:sysClr>
                </a:solidFill>
                <a:prstDash val="solid"/>
                <a:round/>
              </a14:hiddenLine>
            </a:ext>
          </a:extLst>
        </c:spPr>
        <c:crossAx val="1761164159"/>
        <c:crosses val="autoZero"/>
        <c:crossBetween val="midCat"/>
      </c:valAx>
      <c:spPr>
        <a:solidFill>
          <a:srgbClr val="FFFFFF"/>
        </a:solidFill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rgbClr val="FFFFFF"/>
    </a:solidFill>
  </c:sp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78477888"/>
        <c:axId val="78480800"/>
      </c:barChart>
      <c:catAx>
        <c:axId val="78477888"/>
        <c:scaling>
          <c:orientation val="minMax"/>
        </c:scaling>
        <c:delete val="0"/>
        <c:axPos val="b"/>
        <c:majorTickMark val="out"/>
        <c:minorTickMark val="none"/>
        <c:tickLblPos val="nextTo"/>
        <c:crossAx val="78480800"/>
        <c:crosses val="autoZero"/>
        <c:auto val="1"/>
        <c:lblAlgn val="ctr"/>
        <c:lblOffset val="100"/>
        <c:noMultiLvlLbl val="0"/>
      </c:catAx>
      <c:valAx>
        <c:axId val="78480800"/>
        <c:scaling>
          <c:orientation val="minMax"/>
        </c:scaling>
        <c:delete val="0"/>
        <c:axPos val="l"/>
        <c:majorGridlines/>
        <c:majorTickMark val="out"/>
        <c:minorTickMark val="none"/>
        <c:tickLblPos val="nextTo"/>
        <c:crossAx val="78477888"/>
        <c:crosses val="autoZero"/>
        <c:crossBetween val="between"/>
      </c:valAx>
    </c:plotArea>
    <c:legend>
      <c:legendPos val="r"/>
      <c:overlay val="0"/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blipFill>
      <a:blip xmlns:r="http://schemas.openxmlformats.org/officeDocument/2006/relationships" r:embed="rId1"/>
      <a:stretch>
        <a:fillRect/>
      </a:stretch>
    </a:blipFill>
  </c:sp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CheckBox" checked="Checked" fmlaLink="$I$8" noThreeD="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4.png"/><Relationship Id="rId3" Type="http://schemas.openxmlformats.org/officeDocument/2006/relationships/chart" Target="../charts/chart3.xml"/><Relationship Id="rId7" Type="http://schemas.openxmlformats.org/officeDocument/2006/relationships/image" Target="../media/image3.png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image" Target="../media/image2.png"/><Relationship Id="rId11" Type="http://schemas.openxmlformats.org/officeDocument/2006/relationships/chart" Target="../charts/chart6.xml"/><Relationship Id="rId5" Type="http://schemas.openxmlformats.org/officeDocument/2006/relationships/image" Target="../media/image1.png"/><Relationship Id="rId10" Type="http://schemas.openxmlformats.org/officeDocument/2006/relationships/image" Target="../media/image5.png"/><Relationship Id="rId4" Type="http://schemas.openxmlformats.org/officeDocument/2006/relationships/chart" Target="../charts/chart4.xml"/><Relationship Id="rId9" Type="http://schemas.openxmlformats.org/officeDocument/2006/relationships/chart" Target="../charts/chart5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emf"/><Relationship Id="rId2" Type="http://schemas.openxmlformats.org/officeDocument/2006/relationships/image" Target="../media/image7.emf"/><Relationship Id="rId1" Type="http://schemas.openxmlformats.org/officeDocument/2006/relationships/image" Target="../media/image6.emf"/><Relationship Id="rId4" Type="http://schemas.openxmlformats.org/officeDocument/2006/relationships/chart" Target="../charts/chart7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5.png"/><Relationship Id="rId2" Type="http://schemas.openxmlformats.org/officeDocument/2006/relationships/image" Target="../media/image14.png"/><Relationship Id="rId1" Type="http://schemas.openxmlformats.org/officeDocument/2006/relationships/image" Target="../media/image1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12.emf"/><Relationship Id="rId2" Type="http://schemas.openxmlformats.org/officeDocument/2006/relationships/image" Target="../media/image11.emf"/><Relationship Id="rId1" Type="http://schemas.openxmlformats.org/officeDocument/2006/relationships/image" Target="../media/image10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276225</xdr:colOff>
          <xdr:row>6</xdr:row>
          <xdr:rowOff>295275</xdr:rowOff>
        </xdr:from>
        <xdr:to>
          <xdr:col>7</xdr:col>
          <xdr:colOff>1504950</xdr:colOff>
          <xdr:row>8</xdr:row>
          <xdr:rowOff>0</xdr:rowOff>
        </xdr:to>
        <xdr:sp macro="" textlink="">
          <xdr:nvSpPr>
            <xdr:cNvPr id="2070" name="Check Box 22" descr="Seção Circular" hidden="1">
              <a:extLst>
                <a:ext uri="{63B3BB69-23CF-44E3-9099-C40C66FF867C}">
                  <a14:compatExt spid="_x0000_s2070"/>
                </a:ext>
                <a:ext uri="{FF2B5EF4-FFF2-40B4-BE49-F238E27FC236}">
                  <a16:creationId xmlns:a16="http://schemas.microsoft.com/office/drawing/2014/main" id="{00000000-0008-0000-0000-00001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t-B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Seção Circular</a:t>
              </a:r>
            </a:p>
          </xdr:txBody>
        </xdr:sp>
        <xdr:clientData fLocksWithSheet="0"/>
      </xdr:twoCellAnchor>
    </mc:Choice>
    <mc:Fallback/>
  </mc:AlternateContent>
  <xdr:twoCellAnchor>
    <xdr:from>
      <xdr:col>6</xdr:col>
      <xdr:colOff>95249</xdr:colOff>
      <xdr:row>24</xdr:row>
      <xdr:rowOff>158750</xdr:rowOff>
    </xdr:from>
    <xdr:to>
      <xdr:col>8</xdr:col>
      <xdr:colOff>1245052</xdr:colOff>
      <xdr:row>56</xdr:row>
      <xdr:rowOff>174625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8657</xdr:colOff>
      <xdr:row>24</xdr:row>
      <xdr:rowOff>111125</xdr:rowOff>
    </xdr:from>
    <xdr:to>
      <xdr:col>13</xdr:col>
      <xdr:colOff>0</xdr:colOff>
      <xdr:row>56</xdr:row>
      <xdr:rowOff>226217</xdr:rowOff>
    </xdr:to>
    <xdr:graphicFrame macro="">
      <xdr:nvGraphicFramePr>
        <xdr:cNvPr id="9" name="Gráfico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13</xdr:col>
      <xdr:colOff>47625</xdr:colOff>
      <xdr:row>24</xdr:row>
      <xdr:rowOff>111125</xdr:rowOff>
    </xdr:from>
    <xdr:to>
      <xdr:col>16</xdr:col>
      <xdr:colOff>15876</xdr:colOff>
      <xdr:row>57</xdr:row>
      <xdr:rowOff>0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17</xdr:col>
      <xdr:colOff>5758</xdr:colOff>
      <xdr:row>24</xdr:row>
      <xdr:rowOff>111125</xdr:rowOff>
    </xdr:from>
    <xdr:to>
      <xdr:col>19</xdr:col>
      <xdr:colOff>0</xdr:colOff>
      <xdr:row>57</xdr:row>
      <xdr:rowOff>0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 editAs="oneCell">
    <xdr:from>
      <xdr:col>14</xdr:col>
      <xdr:colOff>15875</xdr:colOff>
      <xdr:row>99</xdr:row>
      <xdr:rowOff>116033</xdr:rowOff>
    </xdr:from>
    <xdr:to>
      <xdr:col>17</xdr:col>
      <xdr:colOff>2267</xdr:colOff>
      <xdr:row>112</xdr:row>
      <xdr:rowOff>156482</xdr:rowOff>
    </xdr:to>
    <xdr:pic>
      <xdr:nvPicPr>
        <xdr:cNvPr id="12" name="3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76946" y="21533676"/>
          <a:ext cx="2775857" cy="32245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15876</xdr:colOff>
      <xdr:row>99</xdr:row>
      <xdr:rowOff>126999</xdr:rowOff>
    </xdr:from>
    <xdr:to>
      <xdr:col>12</xdr:col>
      <xdr:colOff>1381125</xdr:colOff>
      <xdr:row>112</xdr:row>
      <xdr:rowOff>132207</xdr:rowOff>
    </xdr:to>
    <xdr:pic>
      <xdr:nvPicPr>
        <xdr:cNvPr id="11" name="2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56162" y="21544642"/>
          <a:ext cx="2943677" cy="318927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17</xdr:col>
      <xdr:colOff>7411</xdr:colOff>
      <xdr:row>99</xdr:row>
      <xdr:rowOff>92982</xdr:rowOff>
    </xdr:from>
    <xdr:to>
      <xdr:col>19</xdr:col>
      <xdr:colOff>9035</xdr:colOff>
      <xdr:row>112</xdr:row>
      <xdr:rowOff>144576</xdr:rowOff>
    </xdr:to>
    <xdr:pic>
      <xdr:nvPicPr>
        <xdr:cNvPr id="14" name="4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28036" y="20984482"/>
          <a:ext cx="2770714" cy="314721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6936</xdr:colOff>
      <xdr:row>99</xdr:row>
      <xdr:rowOff>125487</xdr:rowOff>
    </xdr:from>
    <xdr:to>
      <xdr:col>9</xdr:col>
      <xdr:colOff>2596</xdr:colOff>
      <xdr:row>112</xdr:row>
      <xdr:rowOff>142875</xdr:rowOff>
    </xdr:to>
    <xdr:pic>
      <xdr:nvPicPr>
        <xdr:cNvPr id="15" name="1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66615" y="23815523"/>
          <a:ext cx="2910432" cy="32014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19</xdr:col>
      <xdr:colOff>108855</xdr:colOff>
      <xdr:row>24</xdr:row>
      <xdr:rowOff>127000</xdr:rowOff>
    </xdr:from>
    <xdr:to>
      <xdr:col>22</xdr:col>
      <xdr:colOff>0</xdr:colOff>
      <xdr:row>57</xdr:row>
      <xdr:rowOff>15875</xdr:rowOff>
    </xdr:to>
    <xdr:graphicFrame macro="">
      <xdr:nvGraphicFramePr>
        <xdr:cNvPr id="13" name="Gráfico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 editAs="oneCell">
    <xdr:from>
      <xdr:col>20</xdr:col>
      <xdr:colOff>31750</xdr:colOff>
      <xdr:row>99</xdr:row>
      <xdr:rowOff>95251</xdr:rowOff>
    </xdr:from>
    <xdr:to>
      <xdr:col>21</xdr:col>
      <xdr:colOff>1333499</xdr:colOff>
      <xdr:row>112</xdr:row>
      <xdr:rowOff>152401</xdr:rowOff>
    </xdr:to>
    <xdr:pic>
      <xdr:nvPicPr>
        <xdr:cNvPr id="17" name="5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43250" y="23177501"/>
          <a:ext cx="2762249" cy="3152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20</xdr:col>
      <xdr:colOff>38100</xdr:colOff>
      <xdr:row>69</xdr:row>
      <xdr:rowOff>95250</xdr:rowOff>
    </xdr:from>
    <xdr:to>
      <xdr:col>21</xdr:col>
      <xdr:colOff>1219200</xdr:colOff>
      <xdr:row>74</xdr:row>
      <xdr:rowOff>57150</xdr:rowOff>
    </xdr:to>
    <xdr:sp macro="[0]!Memorial" textlink="">
      <xdr:nvSpPr>
        <xdr:cNvPr id="2" name="Retângulo Arredondado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5697200" y="16554450"/>
          <a:ext cx="2647950" cy="1276350"/>
        </a:xfrm>
        <a:prstGeom prst="roundRect">
          <a:avLst/>
        </a:prstGeom>
        <a:solidFill>
          <a:schemeClr val="accent4">
            <a:lumMod val="20000"/>
            <a:lumOff val="80000"/>
          </a:schemeClr>
        </a:solidFill>
        <a:ln w="76200">
          <a:solidFill>
            <a:schemeClr val="accent4">
              <a:lumMod val="40000"/>
              <a:lumOff val="60000"/>
            </a:schemeClr>
          </a:solidFill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3200" b="1">
              <a:solidFill>
                <a:sysClr val="windowText" lastClr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Memorial de calculo</a:t>
          </a:r>
        </a:p>
      </xdr:txBody>
    </xdr:sp>
    <xdr:clientData/>
  </xdr:twoCellAnchor>
  <xdr:twoCellAnchor>
    <xdr:from>
      <xdr:col>20</xdr:col>
      <xdr:colOff>57150</xdr:colOff>
      <xdr:row>63</xdr:row>
      <xdr:rowOff>0</xdr:rowOff>
    </xdr:from>
    <xdr:to>
      <xdr:col>21</xdr:col>
      <xdr:colOff>1238250</xdr:colOff>
      <xdr:row>68</xdr:row>
      <xdr:rowOff>38100</xdr:rowOff>
    </xdr:to>
    <xdr:sp macro="[0]!TabDiametros" textlink="">
      <xdr:nvSpPr>
        <xdr:cNvPr id="27" name="Retângulo Arredondado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15716250" y="14973300"/>
          <a:ext cx="2647950" cy="1276350"/>
        </a:xfrm>
        <a:prstGeom prst="roundRect">
          <a:avLst/>
        </a:prstGeom>
        <a:solidFill>
          <a:schemeClr val="accent4">
            <a:lumMod val="20000"/>
            <a:lumOff val="80000"/>
          </a:schemeClr>
        </a:solidFill>
        <a:ln w="76200">
          <a:solidFill>
            <a:schemeClr val="accent4">
              <a:lumMod val="40000"/>
              <a:lumOff val="60000"/>
            </a:schemeClr>
          </a:solidFill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3200" b="1">
              <a:solidFill>
                <a:sysClr val="windowText" lastClr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Recalcular</a:t>
          </a:r>
        </a:p>
      </xdr:txBody>
    </xdr:sp>
    <xdr:clientData/>
  </xdr:twoCellAnchor>
  <xdr:twoCellAnchor>
    <xdr:from>
      <xdr:col>10</xdr:col>
      <xdr:colOff>0</xdr:colOff>
      <xdr:row>62</xdr:row>
      <xdr:rowOff>0</xdr:rowOff>
    </xdr:from>
    <xdr:to>
      <xdr:col>13</xdr:col>
      <xdr:colOff>0</xdr:colOff>
      <xdr:row>75</xdr:row>
      <xdr:rowOff>0</xdr:rowOff>
    </xdr:to>
    <xdr:graphicFrame macro="">
      <xdr:nvGraphicFramePr>
        <xdr:cNvPr id="7" name="Grafico_Estacas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42316</xdr:colOff>
          <xdr:row>25</xdr:row>
          <xdr:rowOff>222280</xdr:rowOff>
        </xdr:from>
        <xdr:to>
          <xdr:col>13</xdr:col>
          <xdr:colOff>19050</xdr:colOff>
          <xdr:row>40</xdr:row>
          <xdr:rowOff>119123</xdr:rowOff>
        </xdr:to>
        <xdr:pic>
          <xdr:nvPicPr>
            <xdr:cNvPr id="8" name="Imagem 7">
              <a:extLst>
                <a:ext uri="{FF2B5EF4-FFF2-40B4-BE49-F238E27FC236}">
                  <a16:creationId xmlns:a16="http://schemas.microsoft.com/office/drawing/2014/main" id="{00000000-0008-0000-0100-000008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Compatibilidade!$AG$51:$AO$63" spid="_x0000_s21003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4119016" y="6432580"/>
              <a:ext cx="10035134" cy="3611592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52317</xdr:colOff>
          <xdr:row>42</xdr:row>
          <xdr:rowOff>102344</xdr:rowOff>
        </xdr:from>
        <xdr:to>
          <xdr:col>12</xdr:col>
          <xdr:colOff>1581150</xdr:colOff>
          <xdr:row>53</xdr:row>
          <xdr:rowOff>233966</xdr:rowOff>
        </xdr:to>
        <xdr:pic>
          <xdr:nvPicPr>
            <xdr:cNvPr id="9" name="Imagem 8">
              <a:extLst>
                <a:ext uri="{FF2B5EF4-FFF2-40B4-BE49-F238E27FC236}">
                  <a16:creationId xmlns:a16="http://schemas.microsoft.com/office/drawing/2014/main" id="{00000000-0008-0000-0100-000009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Compatibilidade!$AQ$50:$AW$59" spid="_x0000_s21004"/>
                </a:ext>
              </a:extLst>
            </xdr:cNvPicPr>
          </xdr:nvPicPr>
          <xdr:blipFill>
            <a:blip xmlns:r="http://schemas.openxmlformats.org/officeDocument/2006/relationships" r:embed="rId2"/>
            <a:srcRect/>
            <a:stretch>
              <a:fillRect/>
            </a:stretch>
          </xdr:blipFill>
          <xdr:spPr bwMode="auto">
            <a:xfrm>
              <a:off x="4129017" y="10522694"/>
              <a:ext cx="9987033" cy="2855772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226114</xdr:colOff>
          <xdr:row>26</xdr:row>
          <xdr:rowOff>228600</xdr:rowOff>
        </xdr:from>
        <xdr:to>
          <xdr:col>16</xdr:col>
          <xdr:colOff>1714499</xdr:colOff>
          <xdr:row>47</xdr:row>
          <xdr:rowOff>57150</xdr:rowOff>
        </xdr:to>
        <xdr:pic>
          <xdr:nvPicPr>
            <xdr:cNvPr id="14" name="Imagem 13">
              <a:extLst>
                <a:ext uri="{FF2B5EF4-FFF2-40B4-BE49-F238E27FC236}">
                  <a16:creationId xmlns:a16="http://schemas.microsoft.com/office/drawing/2014/main" id="{00000000-0008-0000-0100-00000E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Compatibilidade!$AY$49:$BC$65" spid="_x0000_s21005"/>
                </a:ext>
              </a:extLst>
            </xdr:cNvPicPr>
          </xdr:nvPicPr>
          <xdr:blipFill>
            <a:blip xmlns:r="http://schemas.openxmlformats.org/officeDocument/2006/relationships" r:embed="rId3"/>
            <a:srcRect/>
            <a:stretch>
              <a:fillRect/>
            </a:stretch>
          </xdr:blipFill>
          <xdr:spPr bwMode="auto">
            <a:xfrm>
              <a:off x="14323114" y="6686550"/>
              <a:ext cx="5393635" cy="50292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xdr:twoCellAnchor>
    <xdr:from>
      <xdr:col>11</xdr:col>
      <xdr:colOff>157843</xdr:colOff>
      <xdr:row>13</xdr:row>
      <xdr:rowOff>232682</xdr:rowOff>
    </xdr:from>
    <xdr:to>
      <xdr:col>13</xdr:col>
      <xdr:colOff>1265464</xdr:colOff>
      <xdr:row>25</xdr:row>
      <xdr:rowOff>99332</xdr:rowOff>
    </xdr:to>
    <xdr:graphicFrame macro="">
      <xdr:nvGraphicFramePr>
        <xdr:cNvPr id="4" name="Grafico_Estacas_MEM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15</xdr:col>
      <xdr:colOff>364672</xdr:colOff>
      <xdr:row>8</xdr:row>
      <xdr:rowOff>27214</xdr:rowOff>
    </xdr:from>
    <xdr:to>
      <xdr:col>16</xdr:col>
      <xdr:colOff>1545772</xdr:colOff>
      <xdr:row>12</xdr:row>
      <xdr:rowOff>261257</xdr:rowOff>
    </xdr:to>
    <xdr:sp macro="[0]!Capa" textlink="">
      <xdr:nvSpPr>
        <xdr:cNvPr id="6" name="Retângulo Arredondado 1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15904029" y="1905000"/>
          <a:ext cx="3616779" cy="1213757"/>
        </a:xfrm>
        <a:prstGeom prst="roundRect">
          <a:avLst/>
        </a:prstGeom>
        <a:solidFill>
          <a:schemeClr val="accent4">
            <a:lumMod val="20000"/>
            <a:lumOff val="80000"/>
          </a:schemeClr>
        </a:solidFill>
        <a:ln w="76200">
          <a:solidFill>
            <a:schemeClr val="accent4">
              <a:lumMod val="40000"/>
              <a:lumOff val="60000"/>
            </a:schemeClr>
          </a:solidFill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3200" b="1">
              <a:solidFill>
                <a:sysClr val="windowText" lastClr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Capa</a:t>
          </a:r>
        </a:p>
      </xdr:txBody>
    </xdr:sp>
    <xdr:clientData/>
  </xdr:twoCellAnchor>
  <xdr:twoCellAnchor>
    <xdr:from>
      <xdr:col>15</xdr:col>
      <xdr:colOff>381000</xdr:colOff>
      <xdr:row>14</xdr:row>
      <xdr:rowOff>27215</xdr:rowOff>
    </xdr:from>
    <xdr:to>
      <xdr:col>16</xdr:col>
      <xdr:colOff>1562100</xdr:colOff>
      <xdr:row>19</xdr:row>
      <xdr:rowOff>16329</xdr:rowOff>
    </xdr:to>
    <xdr:sp macro="[0]!Imprimir" textlink="">
      <xdr:nvSpPr>
        <xdr:cNvPr id="7" name="Retângulo Arredondado 1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/>
      </xdr:nvSpPr>
      <xdr:spPr>
        <a:xfrm>
          <a:off x="15920357" y="3456215"/>
          <a:ext cx="3616779" cy="1213757"/>
        </a:xfrm>
        <a:prstGeom prst="roundRect">
          <a:avLst/>
        </a:prstGeom>
        <a:solidFill>
          <a:schemeClr val="accent4">
            <a:lumMod val="20000"/>
            <a:lumOff val="80000"/>
          </a:schemeClr>
        </a:solidFill>
        <a:ln w="76200">
          <a:solidFill>
            <a:schemeClr val="accent4">
              <a:lumMod val="40000"/>
              <a:lumOff val="60000"/>
            </a:schemeClr>
          </a:solidFill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3200" b="1">
              <a:solidFill>
                <a:sysClr val="windowText" lastClr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Imprimir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17</xdr:col>
      <xdr:colOff>227392</xdr:colOff>
      <xdr:row>4</xdr:row>
      <xdr:rowOff>106465</xdr:rowOff>
    </xdr:from>
    <xdr:to>
      <xdr:col>19</xdr:col>
      <xdr:colOff>392463</xdr:colOff>
      <xdr:row>7</xdr:row>
      <xdr:rowOff>195035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7892" y="1058965"/>
          <a:ext cx="1387446" cy="802945"/>
        </a:xfrm>
        <a:prstGeom prst="rect">
          <a:avLst/>
        </a:prstGeom>
      </xdr:spPr>
    </xdr:pic>
    <xdr:clientData/>
  </xdr:twoCellAnchor>
  <xdr:twoCellAnchor editAs="oneCell">
    <xdr:from>
      <xdr:col>17</xdr:col>
      <xdr:colOff>148490</xdr:colOff>
      <xdr:row>8</xdr:row>
      <xdr:rowOff>112082</xdr:rowOff>
    </xdr:from>
    <xdr:to>
      <xdr:col>19</xdr:col>
      <xdr:colOff>564877</xdr:colOff>
      <xdr:row>12</xdr:row>
      <xdr:rowOff>23636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498990" y="2017082"/>
          <a:ext cx="1638762" cy="864054"/>
        </a:xfrm>
        <a:prstGeom prst="rect">
          <a:avLst/>
        </a:prstGeom>
      </xdr:spPr>
    </xdr:pic>
    <xdr:clientData/>
  </xdr:twoCellAnchor>
  <xdr:twoCellAnchor editAs="oneCell">
    <xdr:from>
      <xdr:col>17</xdr:col>
      <xdr:colOff>23740</xdr:colOff>
      <xdr:row>12</xdr:row>
      <xdr:rowOff>130897</xdr:rowOff>
    </xdr:from>
    <xdr:to>
      <xdr:col>19</xdr:col>
      <xdr:colOff>617964</xdr:colOff>
      <xdr:row>15</xdr:row>
      <xdr:rowOff>68364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374240" y="2988397"/>
          <a:ext cx="1816599" cy="651842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21</xdr:col>
      <xdr:colOff>28719</xdr:colOff>
      <xdr:row>30</xdr:row>
      <xdr:rowOff>101137</xdr:rowOff>
    </xdr:from>
    <xdr:to>
      <xdr:col>28</xdr:col>
      <xdr:colOff>441777</xdr:colOff>
      <xdr:row>56</xdr:row>
      <xdr:rowOff>98303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602594" y="7117887"/>
          <a:ext cx="4902508" cy="494011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30</xdr:col>
      <xdr:colOff>54428</xdr:colOff>
      <xdr:row>1</xdr:row>
      <xdr:rowOff>40822</xdr:rowOff>
    </xdr:from>
    <xdr:to>
      <xdr:col>34</xdr:col>
      <xdr:colOff>258535</xdr:colOff>
      <xdr:row>14</xdr:row>
      <xdr:rowOff>27214</xdr:rowOff>
    </xdr:to>
    <xdr:pic>
      <xdr:nvPicPr>
        <xdr:cNvPr id="2" name="img_temp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18535" y="244929"/>
          <a:ext cx="2653393" cy="278946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Plan1">
    <pageSetUpPr fitToPage="1"/>
  </sheetPr>
  <dimension ref="A1:W219"/>
  <sheetViews>
    <sheetView showGridLines="0" showRowColHeaders="0" tabSelected="1" topLeftCell="A4" zoomScale="68" zoomScaleNormal="68" zoomScaleSheetLayoutView="70" workbookViewId="0">
      <selection activeCell="F69" sqref="F69"/>
    </sheetView>
  </sheetViews>
  <sheetFormatPr defaultColWidth="0" defaultRowHeight="18.75" zeroHeight="1"/>
  <cols>
    <col min="1" max="2" width="1.7109375" style="153" customWidth="1"/>
    <col min="3" max="3" width="11.7109375" style="104" customWidth="1"/>
    <col min="4" max="4" width="7.7109375" style="104" bestFit="1" customWidth="1"/>
    <col min="5" max="5" width="12.28515625" style="199" customWidth="1"/>
    <col min="6" max="6" width="22.85546875" style="153" customWidth="1"/>
    <col min="7" max="7" width="1.7109375" style="153" customWidth="1"/>
    <col min="8" max="8" width="23.7109375" style="247" customWidth="1"/>
    <col min="9" max="9" width="20.140625" style="248" customWidth="1"/>
    <col min="10" max="10" width="1.7109375" style="153" customWidth="1"/>
    <col min="11" max="11" width="22" style="153" customWidth="1"/>
    <col min="12" max="12" width="1.7109375" style="153" customWidth="1"/>
    <col min="13" max="13" width="21.7109375" style="153" customWidth="1"/>
    <col min="14" max="14" width="1.7109375" style="153" customWidth="1"/>
    <col min="15" max="15" width="18.28515625" style="153" bestFit="1" customWidth="1"/>
    <col min="16" max="16" width="21.7109375" style="153" customWidth="1"/>
    <col min="17" max="17" width="1.7109375" style="153" customWidth="1"/>
    <col min="18" max="18" width="22" style="153" bestFit="1" customWidth="1"/>
    <col min="19" max="19" width="19.85546875" style="153" customWidth="1"/>
    <col min="20" max="20" width="1.7109375" style="153" customWidth="1"/>
    <col min="21" max="21" width="22" style="153" bestFit="1" customWidth="1"/>
    <col min="22" max="22" width="20.28515625" style="153" customWidth="1"/>
    <col min="23" max="23" width="2.42578125" style="153" customWidth="1"/>
    <col min="24" max="16384" width="9.140625" style="27" hidden="1"/>
  </cols>
  <sheetData>
    <row r="1" spans="1:23" s="57" customFormat="1" ht="12" hidden="1" customHeight="1">
      <c r="A1" s="390"/>
      <c r="B1" s="390"/>
      <c r="C1" s="390"/>
      <c r="D1" s="390"/>
      <c r="E1" s="390"/>
      <c r="F1" s="390"/>
      <c r="G1" s="390"/>
      <c r="H1" s="390"/>
      <c r="I1" s="390"/>
      <c r="J1" s="390"/>
      <c r="K1" s="390"/>
      <c r="L1" s="390"/>
      <c r="M1" s="390"/>
      <c r="N1" s="390"/>
      <c r="O1" s="390"/>
      <c r="P1" s="390"/>
      <c r="Q1" s="390"/>
      <c r="R1" s="390"/>
      <c r="S1" s="390"/>
      <c r="T1" s="390"/>
      <c r="U1" s="390"/>
      <c r="V1" s="390"/>
      <c r="W1" s="390"/>
    </row>
    <row r="2" spans="1:23" hidden="1">
      <c r="A2" s="57"/>
      <c r="B2" s="27"/>
      <c r="C2" s="28"/>
      <c r="D2" s="28"/>
      <c r="E2" s="28"/>
      <c r="F2" s="27"/>
      <c r="G2" s="27"/>
      <c r="H2" s="30">
        <f>-I15</f>
        <v>13</v>
      </c>
      <c r="I2" s="30">
        <f>I3+2</f>
        <v>42</v>
      </c>
      <c r="J2" s="27"/>
      <c r="K2" s="30">
        <f>K3</f>
        <v>1</v>
      </c>
      <c r="L2" s="30"/>
      <c r="M2" s="30">
        <f>I2</f>
        <v>42</v>
      </c>
      <c r="N2" s="27"/>
      <c r="O2" s="31">
        <f>M2</f>
        <v>42</v>
      </c>
      <c r="P2" s="31">
        <f>O2</f>
        <v>42</v>
      </c>
      <c r="Q2" s="27"/>
      <c r="R2" s="31">
        <f>M3</f>
        <v>40</v>
      </c>
      <c r="S2" s="31">
        <f>I3</f>
        <v>40</v>
      </c>
      <c r="T2" s="27"/>
      <c r="U2" s="27"/>
      <c r="V2" s="27"/>
      <c r="W2" s="27"/>
    </row>
    <row r="3" spans="1:23" ht="6.75" hidden="1" customHeight="1">
      <c r="A3" s="57"/>
      <c r="B3" s="27"/>
      <c r="C3" s="28"/>
      <c r="D3" s="28"/>
      <c r="E3" s="28"/>
      <c r="F3" s="30"/>
      <c r="G3" s="27"/>
      <c r="H3" s="30">
        <f>H2</f>
        <v>13</v>
      </c>
      <c r="I3" s="30">
        <v>40</v>
      </c>
      <c r="J3" s="27"/>
      <c r="K3" s="30">
        <f>-I14</f>
        <v>1</v>
      </c>
      <c r="L3" s="30"/>
      <c r="M3" s="30">
        <f>I3</f>
        <v>40</v>
      </c>
      <c r="N3" s="27"/>
      <c r="O3" s="31">
        <f>K3</f>
        <v>1</v>
      </c>
      <c r="P3" s="31">
        <f>H3</f>
        <v>13</v>
      </c>
      <c r="Q3" s="27"/>
      <c r="R3" s="31">
        <f>O3</f>
        <v>1</v>
      </c>
      <c r="S3" s="31">
        <f>P3</f>
        <v>13</v>
      </c>
      <c r="T3" s="27"/>
      <c r="U3" s="27"/>
      <c r="V3" s="27"/>
      <c r="W3" s="27"/>
    </row>
    <row r="4" spans="1:23" ht="22.5" customHeight="1">
      <c r="A4" s="390"/>
      <c r="B4" s="366" t="s">
        <v>407</v>
      </c>
      <c r="C4" s="367"/>
      <c r="D4" s="367"/>
      <c r="E4" s="367"/>
      <c r="F4" s="367"/>
      <c r="G4" s="367"/>
      <c r="H4" s="367"/>
      <c r="I4" s="367"/>
      <c r="J4" s="367"/>
      <c r="K4" s="367"/>
      <c r="L4" s="367"/>
      <c r="M4" s="367"/>
      <c r="N4" s="367"/>
      <c r="O4" s="367"/>
      <c r="P4" s="367"/>
      <c r="Q4" s="367"/>
      <c r="R4" s="367"/>
      <c r="S4" s="367"/>
      <c r="T4" s="367"/>
      <c r="U4" s="367"/>
      <c r="V4" s="367"/>
      <c r="W4" s="367"/>
    </row>
    <row r="5" spans="1:23" ht="37.5" customHeight="1">
      <c r="A5" s="390"/>
      <c r="B5" s="367"/>
      <c r="C5" s="367"/>
      <c r="D5" s="367"/>
      <c r="E5" s="367"/>
      <c r="F5" s="367"/>
      <c r="G5" s="367"/>
      <c r="H5" s="367"/>
      <c r="I5" s="367"/>
      <c r="J5" s="367"/>
      <c r="K5" s="367"/>
      <c r="L5" s="367"/>
      <c r="M5" s="367"/>
      <c r="N5" s="367"/>
      <c r="O5" s="367"/>
      <c r="P5" s="367"/>
      <c r="Q5" s="367"/>
      <c r="R5" s="367"/>
      <c r="S5" s="367"/>
      <c r="T5" s="367"/>
      <c r="U5" s="367"/>
      <c r="V5" s="367"/>
      <c r="W5" s="367"/>
    </row>
    <row r="6" spans="1:23" ht="9.9499999999999993" customHeight="1">
      <c r="A6" s="390"/>
      <c r="B6" s="368"/>
      <c r="C6" s="368"/>
      <c r="D6" s="368"/>
      <c r="E6" s="368"/>
      <c r="F6" s="368"/>
      <c r="G6" s="368"/>
      <c r="H6" s="368"/>
      <c r="I6" s="368"/>
      <c r="J6" s="368"/>
      <c r="K6" s="368"/>
      <c r="L6" s="368"/>
      <c r="M6" s="368"/>
      <c r="N6" s="368"/>
      <c r="O6" s="368"/>
      <c r="P6" s="368"/>
      <c r="Q6" s="368"/>
      <c r="R6" s="368"/>
      <c r="S6" s="368"/>
      <c r="T6" s="368"/>
      <c r="U6" s="368"/>
      <c r="V6" s="368"/>
      <c r="W6" s="368"/>
    </row>
    <row r="7" spans="1:23" ht="24.95" customHeight="1">
      <c r="A7" s="390"/>
      <c r="B7" s="359"/>
      <c r="C7" s="32" t="s">
        <v>14</v>
      </c>
      <c r="D7" s="112" t="s">
        <v>50</v>
      </c>
      <c r="E7" s="313" t="s">
        <v>393</v>
      </c>
      <c r="F7" s="112" t="s">
        <v>71</v>
      </c>
      <c r="G7" s="33"/>
      <c r="H7" s="34" t="s">
        <v>359</v>
      </c>
      <c r="I7" s="136" t="s">
        <v>54</v>
      </c>
      <c r="J7" s="45"/>
      <c r="K7" s="352" t="s">
        <v>132</v>
      </c>
      <c r="L7" s="353"/>
      <c r="M7" s="353"/>
      <c r="N7" s="33"/>
      <c r="O7" s="352" t="s">
        <v>132</v>
      </c>
      <c r="P7" s="353"/>
      <c r="Q7" s="33"/>
      <c r="R7" s="352" t="s">
        <v>132</v>
      </c>
      <c r="S7" s="353"/>
      <c r="T7" s="27"/>
      <c r="U7" s="352" t="s">
        <v>132</v>
      </c>
      <c r="V7" s="353"/>
      <c r="W7" s="369"/>
    </row>
    <row r="8" spans="1:23">
      <c r="A8" s="390"/>
      <c r="B8" s="359"/>
      <c r="C8" s="35">
        <v>0</v>
      </c>
      <c r="D8" s="96"/>
      <c r="E8" s="96"/>
      <c r="F8" s="97"/>
      <c r="G8" s="36"/>
      <c r="H8" s="37"/>
      <c r="I8" s="55" t="b">
        <v>1</v>
      </c>
      <c r="J8" s="36"/>
      <c r="K8" s="354" t="s">
        <v>137</v>
      </c>
      <c r="L8" s="354"/>
      <c r="M8" s="354"/>
      <c r="N8" s="36"/>
      <c r="O8" s="354" t="s">
        <v>346</v>
      </c>
      <c r="P8" s="354"/>
      <c r="Q8" s="36"/>
      <c r="R8" s="354" t="s">
        <v>200</v>
      </c>
      <c r="S8" s="354"/>
      <c r="T8" s="27"/>
      <c r="U8" s="354" t="s">
        <v>364</v>
      </c>
      <c r="V8" s="354"/>
      <c r="W8" s="369"/>
    </row>
    <row r="9" spans="1:23">
      <c r="A9" s="390"/>
      <c r="B9" s="359"/>
      <c r="C9" s="38">
        <f>C8+1</f>
        <v>1</v>
      </c>
      <c r="D9" s="98">
        <v>5</v>
      </c>
      <c r="E9" s="109">
        <v>16</v>
      </c>
      <c r="F9" s="99" t="s">
        <v>38</v>
      </c>
      <c r="G9" s="36"/>
      <c r="H9" s="65" t="s">
        <v>177</v>
      </c>
      <c r="I9" s="67">
        <v>26</v>
      </c>
      <c r="J9" s="36"/>
      <c r="K9" s="360" t="s">
        <v>161</v>
      </c>
      <c r="L9" s="361"/>
      <c r="M9" s="69">
        <f>CALCULO!C32</f>
        <v>14</v>
      </c>
      <c r="N9" s="36"/>
      <c r="O9" s="323" t="s">
        <v>161</v>
      </c>
      <c r="P9" s="69">
        <f>CALCULO!C44</f>
        <v>13</v>
      </c>
      <c r="Q9" s="36"/>
      <c r="R9" s="323" t="s">
        <v>161</v>
      </c>
      <c r="S9" s="69">
        <f>CALCULO!C55</f>
        <v>9.9384615384615387</v>
      </c>
      <c r="T9" s="27"/>
      <c r="U9" s="323" t="s">
        <v>161</v>
      </c>
      <c r="V9" s="69">
        <f>(S9+P9+M9)/3</f>
        <v>12.312820512820513</v>
      </c>
      <c r="W9" s="369"/>
    </row>
    <row r="10" spans="1:23">
      <c r="A10" s="390"/>
      <c r="B10" s="359"/>
      <c r="C10" s="38">
        <f t="shared" ref="C10:C57" si="0">C9+1</f>
        <v>2</v>
      </c>
      <c r="D10" s="98">
        <v>5</v>
      </c>
      <c r="E10" s="109">
        <v>16</v>
      </c>
      <c r="F10" s="99" t="s">
        <v>38</v>
      </c>
      <c r="G10" s="36"/>
      <c r="H10" s="39" t="s">
        <v>73</v>
      </c>
      <c r="I10" s="40"/>
      <c r="J10" s="36"/>
      <c r="K10" s="360" t="s">
        <v>162</v>
      </c>
      <c r="L10" s="361"/>
      <c r="M10" s="69">
        <f>CALCULO!C33</f>
        <v>5.666666666666667</v>
      </c>
      <c r="N10" s="36"/>
      <c r="O10" s="323" t="s">
        <v>162</v>
      </c>
      <c r="P10" s="69">
        <f>CALCULO!C45</f>
        <v>5.666666666666667</v>
      </c>
      <c r="Q10" s="36"/>
      <c r="R10" s="323" t="s">
        <v>162</v>
      </c>
      <c r="S10" s="69">
        <f>CALCULO!C56</f>
        <v>5.666666666666667</v>
      </c>
      <c r="T10" s="27"/>
      <c r="U10" s="323" t="s">
        <v>162</v>
      </c>
      <c r="V10" s="69">
        <f>(S10+P10+M10)/3</f>
        <v>5.666666666666667</v>
      </c>
      <c r="W10" s="369"/>
    </row>
    <row r="11" spans="1:23">
      <c r="A11" s="390"/>
      <c r="B11" s="359"/>
      <c r="C11" s="38">
        <f t="shared" si="0"/>
        <v>3</v>
      </c>
      <c r="D11" s="98">
        <v>2</v>
      </c>
      <c r="E11" s="109">
        <v>16</v>
      </c>
      <c r="F11" s="99" t="s">
        <v>38</v>
      </c>
      <c r="G11" s="36"/>
      <c r="H11" s="65" t="s">
        <v>175</v>
      </c>
      <c r="I11" s="53">
        <v>1.5</v>
      </c>
      <c r="J11" s="36"/>
      <c r="K11" s="323"/>
      <c r="L11" s="324"/>
      <c r="M11" s="324"/>
      <c r="N11" s="36"/>
      <c r="O11" s="323"/>
      <c r="P11" s="324"/>
      <c r="Q11" s="36"/>
      <c r="R11" s="323"/>
      <c r="S11" s="324"/>
      <c r="T11" s="27"/>
      <c r="U11" s="323"/>
      <c r="V11" s="324"/>
      <c r="W11" s="369"/>
    </row>
    <row r="12" spans="1:23">
      <c r="A12" s="390"/>
      <c r="B12" s="359"/>
      <c r="C12" s="38">
        <f t="shared" si="0"/>
        <v>4</v>
      </c>
      <c r="D12" s="98">
        <v>3</v>
      </c>
      <c r="E12" s="109">
        <v>16</v>
      </c>
      <c r="F12" s="99" t="s">
        <v>38</v>
      </c>
      <c r="G12" s="36"/>
      <c r="H12" s="65" t="s">
        <v>72</v>
      </c>
      <c r="I12" s="54">
        <v>0.1137</v>
      </c>
      <c r="J12" s="36"/>
      <c r="K12" s="360" t="s">
        <v>163</v>
      </c>
      <c r="L12" s="361"/>
      <c r="M12" s="141">
        <f>CALCULO!C15*(CALCULO!C30)</f>
        <v>9.8017690792001559</v>
      </c>
      <c r="N12" s="36"/>
      <c r="O12" s="323" t="s">
        <v>163</v>
      </c>
      <c r="P12" s="141">
        <f>CALCULO!C15*(CALCULO!C30)</f>
        <v>9.8017690792001559</v>
      </c>
      <c r="Q12" s="36"/>
      <c r="R12" s="323" t="s">
        <v>163</v>
      </c>
      <c r="S12" s="141">
        <f>CALCULO!C15*(CALCULO!C30-1)</f>
        <v>8.984954989266809</v>
      </c>
      <c r="T12" s="27"/>
      <c r="U12" s="323" t="s">
        <v>163</v>
      </c>
      <c r="V12" s="141">
        <f>(S12+P12+M12)/3</f>
        <v>9.5294977158890415</v>
      </c>
      <c r="W12" s="369"/>
    </row>
    <row r="13" spans="1:23">
      <c r="A13" s="390"/>
      <c r="B13" s="359"/>
      <c r="C13" s="38">
        <f t="shared" si="0"/>
        <v>5</v>
      </c>
      <c r="D13" s="98">
        <v>2</v>
      </c>
      <c r="E13" s="109">
        <v>16</v>
      </c>
      <c r="F13" s="99" t="s">
        <v>38</v>
      </c>
      <c r="G13" s="36"/>
      <c r="H13" s="258" t="s">
        <v>160</v>
      </c>
      <c r="I13" s="259"/>
      <c r="J13" s="36"/>
      <c r="K13" s="360" t="s">
        <v>164</v>
      </c>
      <c r="L13" s="361"/>
      <c r="M13" s="70">
        <f>CALCULO!C12</f>
        <v>5.3092915845667513E-2</v>
      </c>
      <c r="N13" s="63"/>
      <c r="O13" s="71" t="s">
        <v>164</v>
      </c>
      <c r="P13" s="70">
        <f>CALCULO!C12</f>
        <v>5.3092915845667513E-2</v>
      </c>
      <c r="Q13" s="63"/>
      <c r="R13" s="71" t="s">
        <v>164</v>
      </c>
      <c r="S13" s="70">
        <f>CALCULO!C12</f>
        <v>5.3092915845667513E-2</v>
      </c>
      <c r="T13" s="27"/>
      <c r="U13" s="71" t="s">
        <v>164</v>
      </c>
      <c r="V13" s="70">
        <f>(S13+P13+M13)/3</f>
        <v>5.309291584566752E-2</v>
      </c>
      <c r="W13" s="369"/>
    </row>
    <row r="14" spans="1:23">
      <c r="A14" s="390"/>
      <c r="B14" s="359"/>
      <c r="C14" s="38">
        <f t="shared" si="0"/>
        <v>6</v>
      </c>
      <c r="D14" s="98">
        <v>4</v>
      </c>
      <c r="E14" s="109">
        <v>16</v>
      </c>
      <c r="F14" s="99" t="s">
        <v>38</v>
      </c>
      <c r="G14" s="36"/>
      <c r="H14" s="65" t="s">
        <v>174</v>
      </c>
      <c r="I14" s="66">
        <v>-1</v>
      </c>
      <c r="J14" s="36"/>
      <c r="K14" s="323"/>
      <c r="L14" s="324"/>
      <c r="M14" s="324"/>
      <c r="N14" s="36"/>
      <c r="O14" s="323"/>
      <c r="P14" s="324"/>
      <c r="Q14" s="36"/>
      <c r="R14" s="323"/>
      <c r="S14" s="324"/>
      <c r="T14" s="27"/>
      <c r="U14" s="323"/>
      <c r="V14" s="324"/>
      <c r="W14" s="369"/>
    </row>
    <row r="15" spans="1:23" ht="20.25">
      <c r="A15" s="390"/>
      <c r="B15" s="359"/>
      <c r="C15" s="38">
        <f t="shared" si="0"/>
        <v>7</v>
      </c>
      <c r="D15" s="98">
        <v>4</v>
      </c>
      <c r="E15" s="109">
        <v>16</v>
      </c>
      <c r="F15" s="99" t="s">
        <v>38</v>
      </c>
      <c r="G15" s="36"/>
      <c r="H15" s="65" t="s">
        <v>78</v>
      </c>
      <c r="I15" s="66">
        <v>-13</v>
      </c>
      <c r="J15" s="36"/>
      <c r="K15" s="360" t="s">
        <v>165</v>
      </c>
      <c r="L15" s="361"/>
      <c r="M15" s="85">
        <f>CALCULO!C35</f>
        <v>4060.1503759398493</v>
      </c>
      <c r="N15" s="36"/>
      <c r="O15" s="323" t="s">
        <v>165</v>
      </c>
      <c r="P15" s="85">
        <f>CALCULO!C47</f>
        <v>3250</v>
      </c>
      <c r="Q15" s="36"/>
      <c r="R15" s="323" t="s">
        <v>165</v>
      </c>
      <c r="S15" s="85">
        <f>CALCULO!C58</f>
        <v>2981.5384615384614</v>
      </c>
      <c r="T15" s="27"/>
      <c r="U15" s="323" t="s">
        <v>165</v>
      </c>
      <c r="V15" s="85">
        <f>(S15+P15+M15)/3</f>
        <v>3430.5629458261033</v>
      </c>
      <c r="W15" s="369"/>
    </row>
    <row r="16" spans="1:23" ht="20.25">
      <c r="A16" s="390"/>
      <c r="B16" s="359"/>
      <c r="C16" s="38">
        <f t="shared" si="0"/>
        <v>8</v>
      </c>
      <c r="D16" s="98">
        <v>7</v>
      </c>
      <c r="E16" s="109">
        <v>16</v>
      </c>
      <c r="F16" s="99" t="s">
        <v>38</v>
      </c>
      <c r="G16" s="36"/>
      <c r="H16" s="65" t="s">
        <v>176</v>
      </c>
      <c r="I16" s="78">
        <f>-I15+I14</f>
        <v>12</v>
      </c>
      <c r="J16" s="36"/>
      <c r="K16" s="360" t="s">
        <v>166</v>
      </c>
      <c r="L16" s="361"/>
      <c r="M16" s="85">
        <f>CALCULO!C36</f>
        <v>38.345864661654133</v>
      </c>
      <c r="N16" s="36"/>
      <c r="O16" s="323" t="s">
        <v>166</v>
      </c>
      <c r="P16" s="85">
        <f>CALCULO!C48</f>
        <v>28.888888888888886</v>
      </c>
      <c r="Q16" s="36"/>
      <c r="R16" s="323" t="s">
        <v>166</v>
      </c>
      <c r="S16" s="85">
        <f>CALCULO!C59</f>
        <v>22.666666666666668</v>
      </c>
      <c r="T16" s="27"/>
      <c r="U16" s="323" t="s">
        <v>166</v>
      </c>
      <c r="V16" s="85">
        <f>(S16+P16+M16)/3</f>
        <v>29.967140072403229</v>
      </c>
      <c r="W16" s="369"/>
    </row>
    <row r="17" spans="1:23">
      <c r="A17" s="390"/>
      <c r="B17" s="359"/>
      <c r="C17" s="38">
        <f t="shared" si="0"/>
        <v>9</v>
      </c>
      <c r="D17" s="98">
        <v>9</v>
      </c>
      <c r="E17" s="109">
        <v>16</v>
      </c>
      <c r="F17" s="99" t="s">
        <v>38</v>
      </c>
      <c r="G17" s="36"/>
      <c r="H17" s="312" t="s">
        <v>391</v>
      </c>
      <c r="I17" s="331">
        <v>28</v>
      </c>
      <c r="J17" s="36"/>
      <c r="K17" s="323"/>
      <c r="L17" s="324"/>
      <c r="M17" s="72"/>
      <c r="N17" s="36"/>
      <c r="O17" s="323"/>
      <c r="P17" s="73"/>
      <c r="Q17" s="36"/>
      <c r="R17" s="323"/>
      <c r="S17" s="73"/>
      <c r="T17" s="27"/>
      <c r="U17" s="323"/>
      <c r="V17" s="73"/>
      <c r="W17" s="369"/>
    </row>
    <row r="18" spans="1:23" ht="20.25">
      <c r="A18" s="390"/>
      <c r="B18" s="359"/>
      <c r="C18" s="38">
        <f t="shared" si="0"/>
        <v>10</v>
      </c>
      <c r="D18" s="98">
        <v>9</v>
      </c>
      <c r="E18" s="109">
        <v>16</v>
      </c>
      <c r="F18" s="99" t="s">
        <v>38</v>
      </c>
      <c r="G18" s="36"/>
      <c r="J18" s="36"/>
      <c r="K18" s="372" t="s">
        <v>357</v>
      </c>
      <c r="L18" s="373"/>
      <c r="M18" s="260">
        <f>CALCULO!C38</f>
        <v>335.32367902526846</v>
      </c>
      <c r="N18" s="36"/>
      <c r="O18" s="341" t="s">
        <v>357</v>
      </c>
      <c r="P18" s="260">
        <f>CALCULO!C50</f>
        <v>172.55197649841941</v>
      </c>
      <c r="Q18" s="87"/>
      <c r="R18" s="341" t="s">
        <v>357</v>
      </c>
      <c r="S18" s="260">
        <f>CALCULO!C61</f>
        <v>158.29857062908252</v>
      </c>
      <c r="T18" s="27"/>
      <c r="U18" s="341" t="s">
        <v>357</v>
      </c>
      <c r="V18" s="260">
        <f>(S18+P18+M18)/3</f>
        <v>222.0580753842568</v>
      </c>
      <c r="W18" s="369"/>
    </row>
    <row r="19" spans="1:23" ht="20.25">
      <c r="A19" s="390"/>
      <c r="B19" s="359"/>
      <c r="C19" s="38">
        <f t="shared" si="0"/>
        <v>11</v>
      </c>
      <c r="D19" s="98">
        <v>7</v>
      </c>
      <c r="E19" s="109">
        <v>19</v>
      </c>
      <c r="F19" s="99" t="s">
        <v>38</v>
      </c>
      <c r="G19" s="36"/>
      <c r="H19" s="352" t="s">
        <v>292</v>
      </c>
      <c r="I19" s="353"/>
      <c r="J19" s="36"/>
      <c r="K19" s="360" t="s">
        <v>167</v>
      </c>
      <c r="L19" s="361"/>
      <c r="M19" s="74">
        <f>CALCULO!C39</f>
        <v>375.85731055579538</v>
      </c>
      <c r="N19" s="36"/>
      <c r="O19" s="323" t="s">
        <v>167</v>
      </c>
      <c r="P19" s="74">
        <f>CALCULO!C51</f>
        <v>283.16221784356009</v>
      </c>
      <c r="Q19" s="36"/>
      <c r="R19" s="323" t="s">
        <v>167</v>
      </c>
      <c r="S19" s="74">
        <f>CALCULO!C62</f>
        <v>222.17343246187016</v>
      </c>
      <c r="T19" s="27"/>
      <c r="U19" s="323" t="s">
        <v>167</v>
      </c>
      <c r="V19" s="74">
        <f>(S19+P19+M19)/3</f>
        <v>293.73098695374188</v>
      </c>
      <c r="W19" s="369"/>
    </row>
    <row r="20" spans="1:23" ht="20.25">
      <c r="A20" s="390"/>
      <c r="B20" s="359"/>
      <c r="C20" s="38">
        <f t="shared" si="0"/>
        <v>12</v>
      </c>
      <c r="D20" s="98">
        <v>7</v>
      </c>
      <c r="E20" s="109">
        <v>19</v>
      </c>
      <c r="F20" s="99" t="s">
        <v>38</v>
      </c>
      <c r="G20" s="36"/>
      <c r="H20" s="65" t="s">
        <v>212</v>
      </c>
      <c r="I20" s="66">
        <v>-10</v>
      </c>
      <c r="J20" s="36"/>
      <c r="K20" s="360" t="s">
        <v>168</v>
      </c>
      <c r="L20" s="361"/>
      <c r="M20" s="74">
        <f>IF(AND(M18&lt;&gt;"",M19&lt;&gt;""),M18+M19,"")</f>
        <v>711.18098958106384</v>
      </c>
      <c r="N20" s="36"/>
      <c r="O20" s="323" t="s">
        <v>168</v>
      </c>
      <c r="P20" s="74">
        <f>IF(AND(P18&lt;&gt;"",P19&lt;&gt;""),P18+P19,"")</f>
        <v>455.71419434197946</v>
      </c>
      <c r="Q20" s="36"/>
      <c r="R20" s="323" t="s">
        <v>168</v>
      </c>
      <c r="S20" s="74">
        <f>IF(AND(S18&lt;&gt;"",S19&lt;&gt;""),S18+S19,"")</f>
        <v>380.47200309095268</v>
      </c>
      <c r="T20" s="27"/>
      <c r="U20" s="323" t="s">
        <v>168</v>
      </c>
      <c r="V20" s="74">
        <f>(S20+P20+M20)/3</f>
        <v>515.78906233799864</v>
      </c>
      <c r="W20" s="369"/>
    </row>
    <row r="21" spans="1:23">
      <c r="A21" s="390"/>
      <c r="B21" s="359"/>
      <c r="C21" s="38">
        <f t="shared" si="0"/>
        <v>13</v>
      </c>
      <c r="D21" s="98">
        <v>9</v>
      </c>
      <c r="E21" s="109">
        <v>20</v>
      </c>
      <c r="F21" s="99" t="s">
        <v>38</v>
      </c>
      <c r="G21" s="36"/>
      <c r="H21" s="65" t="s">
        <v>293</v>
      </c>
      <c r="I21" s="158" t="s">
        <v>299</v>
      </c>
      <c r="J21" s="36"/>
      <c r="K21" s="323"/>
      <c r="L21" s="324"/>
      <c r="M21" s="328"/>
      <c r="N21" s="36"/>
      <c r="O21" s="323"/>
      <c r="P21" s="75"/>
      <c r="Q21" s="36"/>
      <c r="R21" s="323"/>
      <c r="S21" s="328"/>
      <c r="T21" s="27"/>
      <c r="U21" s="323"/>
      <c r="V21" s="328"/>
      <c r="W21" s="369"/>
    </row>
    <row r="22" spans="1:23" ht="20.25">
      <c r="A22" s="390"/>
      <c r="B22" s="359"/>
      <c r="C22" s="38">
        <f t="shared" si="0"/>
        <v>14</v>
      </c>
      <c r="D22" s="98">
        <v>14</v>
      </c>
      <c r="E22" s="109">
        <v>20</v>
      </c>
      <c r="F22" s="99" t="s">
        <v>38</v>
      </c>
      <c r="G22" s="36"/>
      <c r="H22" s="65" t="s">
        <v>358</v>
      </c>
      <c r="I22" s="158" t="s">
        <v>360</v>
      </c>
      <c r="J22" s="36"/>
      <c r="K22" s="374" t="s">
        <v>169</v>
      </c>
      <c r="L22" s="375"/>
      <c r="M22" s="76">
        <f>IF(M20&lt;&gt;"",M20/M24,"")</f>
        <v>374.3057839900336</v>
      </c>
      <c r="N22" s="36"/>
      <c r="O22" s="325" t="s">
        <v>169</v>
      </c>
      <c r="P22" s="76">
        <f>P20/P24</f>
        <v>227.85709717098973</v>
      </c>
      <c r="Q22" s="36"/>
      <c r="R22" s="325" t="s">
        <v>169</v>
      </c>
      <c r="S22" s="76">
        <f>S20/S24</f>
        <v>190.23600154547634</v>
      </c>
      <c r="T22" s="27"/>
      <c r="U22" s="325" t="s">
        <v>169</v>
      </c>
      <c r="V22" s="76">
        <f>V20/V24</f>
        <v>257.89453116899932</v>
      </c>
      <c r="W22" s="369"/>
    </row>
    <row r="23" spans="1:23">
      <c r="A23" s="390"/>
      <c r="B23" s="359"/>
      <c r="C23" s="38">
        <f t="shared" si="0"/>
        <v>15</v>
      </c>
      <c r="D23" s="98">
        <v>16</v>
      </c>
      <c r="E23" s="109">
        <v>20</v>
      </c>
      <c r="F23" s="99" t="s">
        <v>38</v>
      </c>
      <c r="G23" s="36"/>
      <c r="H23" s="65" t="s">
        <v>392</v>
      </c>
      <c r="I23" s="330">
        <v>0.5</v>
      </c>
      <c r="J23" s="36"/>
      <c r="K23" s="323"/>
      <c r="L23" s="324"/>
      <c r="M23" s="76"/>
      <c r="N23" s="36"/>
      <c r="O23" s="323"/>
      <c r="P23" s="77"/>
      <c r="Q23" s="36"/>
      <c r="R23" s="323"/>
      <c r="S23" s="77"/>
      <c r="T23" s="27"/>
      <c r="U23" s="323"/>
      <c r="V23" s="77"/>
      <c r="W23" s="369"/>
    </row>
    <row r="24" spans="1:23">
      <c r="A24" s="390"/>
      <c r="B24" s="359"/>
      <c r="C24" s="38">
        <f t="shared" si="0"/>
        <v>16</v>
      </c>
      <c r="D24" s="98">
        <v>15</v>
      </c>
      <c r="E24" s="109">
        <v>20</v>
      </c>
      <c r="F24" s="99" t="s">
        <v>38</v>
      </c>
      <c r="G24" s="36"/>
      <c r="H24" s="65" t="s">
        <v>390</v>
      </c>
      <c r="I24" s="330" t="s">
        <v>274</v>
      </c>
      <c r="J24" s="36"/>
      <c r="K24" s="360" t="s">
        <v>170</v>
      </c>
      <c r="L24" s="376"/>
      <c r="M24" s="154">
        <v>1.9</v>
      </c>
      <c r="N24" s="36"/>
      <c r="O24" s="68" t="s">
        <v>170</v>
      </c>
      <c r="P24" s="154">
        <v>2</v>
      </c>
      <c r="Q24" s="36"/>
      <c r="R24" s="68" t="s">
        <v>170</v>
      </c>
      <c r="S24" s="154">
        <v>2</v>
      </c>
      <c r="T24" s="27"/>
      <c r="U24" s="68" t="s">
        <v>170</v>
      </c>
      <c r="V24" s="154">
        <v>2</v>
      </c>
      <c r="W24" s="369"/>
    </row>
    <row r="25" spans="1:23">
      <c r="A25" s="390"/>
      <c r="B25" s="359"/>
      <c r="C25" s="38">
        <f t="shared" si="0"/>
        <v>17</v>
      </c>
      <c r="D25" s="98">
        <v>13</v>
      </c>
      <c r="E25" s="109">
        <v>20</v>
      </c>
      <c r="F25" s="99" t="s">
        <v>38</v>
      </c>
      <c r="G25" s="36"/>
      <c r="H25" s="41"/>
      <c r="I25" s="42"/>
      <c r="J25" s="36"/>
      <c r="K25" s="148"/>
      <c r="L25" s="149"/>
      <c r="M25" s="149"/>
      <c r="N25" s="150"/>
      <c r="O25" s="148"/>
      <c r="P25" s="151"/>
      <c r="Q25" s="150"/>
      <c r="R25" s="148"/>
      <c r="S25" s="152"/>
      <c r="U25" s="148"/>
      <c r="V25" s="152"/>
      <c r="W25" s="369"/>
    </row>
    <row r="26" spans="1:23">
      <c r="A26" s="390"/>
      <c r="B26" s="359"/>
      <c r="C26" s="38">
        <f t="shared" si="0"/>
        <v>18</v>
      </c>
      <c r="D26" s="98">
        <v>14</v>
      </c>
      <c r="E26" s="109">
        <v>20</v>
      </c>
      <c r="F26" s="99" t="s">
        <v>38</v>
      </c>
      <c r="G26" s="36"/>
      <c r="H26" s="41"/>
      <c r="I26" s="42"/>
      <c r="J26" s="36"/>
      <c r="K26" s="148"/>
      <c r="L26" s="149"/>
      <c r="M26" s="149"/>
      <c r="N26" s="150"/>
      <c r="O26" s="148"/>
      <c r="P26" s="152"/>
      <c r="Q26" s="150"/>
      <c r="R26" s="148"/>
      <c r="S26" s="152"/>
      <c r="U26" s="148"/>
      <c r="V26" s="152"/>
      <c r="W26" s="369"/>
    </row>
    <row r="27" spans="1:23">
      <c r="A27" s="390"/>
      <c r="B27" s="359"/>
      <c r="C27" s="38">
        <f t="shared" si="0"/>
        <v>19</v>
      </c>
      <c r="D27" s="98">
        <v>16</v>
      </c>
      <c r="E27" s="109">
        <v>20</v>
      </c>
      <c r="F27" s="99" t="s">
        <v>38</v>
      </c>
      <c r="G27" s="36"/>
      <c r="H27" s="41"/>
      <c r="I27" s="42"/>
      <c r="J27" s="36"/>
      <c r="K27" s="27"/>
      <c r="L27" s="27"/>
      <c r="M27" s="27"/>
      <c r="N27" s="36"/>
      <c r="O27" s="27"/>
      <c r="P27" s="27"/>
      <c r="Q27" s="36"/>
      <c r="R27" s="27"/>
      <c r="S27" s="27"/>
      <c r="T27" s="27"/>
      <c r="U27" s="27"/>
      <c r="V27" s="27"/>
      <c r="W27" s="369"/>
    </row>
    <row r="28" spans="1:23">
      <c r="A28" s="390"/>
      <c r="B28" s="359"/>
      <c r="C28" s="38">
        <f t="shared" si="0"/>
        <v>20</v>
      </c>
      <c r="D28" s="98">
        <v>21</v>
      </c>
      <c r="E28" s="109">
        <v>21</v>
      </c>
      <c r="F28" s="99" t="s">
        <v>38</v>
      </c>
      <c r="G28" s="36"/>
      <c r="H28" s="41"/>
      <c r="I28" s="42"/>
      <c r="J28" s="36"/>
      <c r="K28" s="43"/>
      <c r="L28" s="27"/>
      <c r="M28" s="27"/>
      <c r="N28" s="36"/>
      <c r="O28" s="61"/>
      <c r="P28" s="62"/>
      <c r="Q28" s="36"/>
      <c r="R28" s="43"/>
      <c r="S28" s="27"/>
      <c r="T28" s="27"/>
      <c r="U28" s="27"/>
      <c r="V28" s="27"/>
      <c r="W28" s="369"/>
    </row>
    <row r="29" spans="1:23">
      <c r="A29" s="390"/>
      <c r="B29" s="359"/>
      <c r="C29" s="38">
        <f t="shared" si="0"/>
        <v>21</v>
      </c>
      <c r="D29" s="98">
        <v>28</v>
      </c>
      <c r="E29" s="109">
        <v>21</v>
      </c>
      <c r="F29" s="99" t="s">
        <v>38</v>
      </c>
      <c r="G29" s="36"/>
      <c r="H29" s="41"/>
      <c r="I29" s="42"/>
      <c r="J29" s="36"/>
      <c r="K29" s="43"/>
      <c r="L29" s="27"/>
      <c r="M29" s="27"/>
      <c r="N29" s="36"/>
      <c r="O29" s="43"/>
      <c r="P29" s="27"/>
      <c r="Q29" s="36"/>
      <c r="R29" s="43"/>
      <c r="S29" s="27"/>
      <c r="T29" s="27"/>
      <c r="U29" s="27"/>
      <c r="V29" s="27"/>
      <c r="W29" s="369"/>
    </row>
    <row r="30" spans="1:23">
      <c r="A30" s="390"/>
      <c r="B30" s="359"/>
      <c r="C30" s="38">
        <f t="shared" si="0"/>
        <v>22</v>
      </c>
      <c r="D30" s="98">
        <v>25</v>
      </c>
      <c r="E30" s="109">
        <v>21</v>
      </c>
      <c r="F30" s="99" t="s">
        <v>38</v>
      </c>
      <c r="G30" s="36"/>
      <c r="H30" s="41"/>
      <c r="I30" s="42"/>
      <c r="J30" s="36"/>
      <c r="K30" s="43"/>
      <c r="L30" s="27"/>
      <c r="M30" s="27"/>
      <c r="N30" s="36"/>
      <c r="O30" s="43"/>
      <c r="P30" s="27"/>
      <c r="Q30" s="36"/>
      <c r="R30" s="43"/>
      <c r="S30" s="27"/>
      <c r="T30" s="27"/>
      <c r="U30" s="27"/>
      <c r="V30" s="27"/>
      <c r="W30" s="369"/>
    </row>
    <row r="31" spans="1:23">
      <c r="A31" s="390"/>
      <c r="B31" s="359"/>
      <c r="C31" s="38">
        <f t="shared" si="0"/>
        <v>23</v>
      </c>
      <c r="D31" s="98">
        <v>30</v>
      </c>
      <c r="E31" s="109">
        <v>21</v>
      </c>
      <c r="F31" s="99" t="s">
        <v>38</v>
      </c>
      <c r="G31" s="36"/>
      <c r="H31" s="41"/>
      <c r="I31" s="42"/>
      <c r="J31" s="36"/>
      <c r="K31" s="43"/>
      <c r="L31" s="27"/>
      <c r="M31" s="27"/>
      <c r="N31" s="36"/>
      <c r="O31" s="43"/>
      <c r="P31" s="27"/>
      <c r="Q31" s="36"/>
      <c r="R31" s="43"/>
      <c r="S31" s="27"/>
      <c r="T31" s="27"/>
      <c r="U31" s="27"/>
      <c r="V31" s="27"/>
      <c r="W31" s="369"/>
    </row>
    <row r="32" spans="1:23">
      <c r="A32" s="390"/>
      <c r="B32" s="359"/>
      <c r="C32" s="38">
        <f t="shared" si="0"/>
        <v>24</v>
      </c>
      <c r="D32" s="98">
        <v>37</v>
      </c>
      <c r="E32" s="109">
        <v>21</v>
      </c>
      <c r="F32" s="99" t="s">
        <v>38</v>
      </c>
      <c r="G32" s="36"/>
      <c r="H32" s="41"/>
      <c r="I32" s="42"/>
      <c r="J32" s="36"/>
      <c r="K32" s="43"/>
      <c r="L32" s="27"/>
      <c r="M32" s="27"/>
      <c r="N32" s="36"/>
      <c r="O32" s="43"/>
      <c r="P32" s="27"/>
      <c r="Q32" s="36"/>
      <c r="R32" s="43"/>
      <c r="S32" s="27"/>
      <c r="T32" s="27"/>
      <c r="U32" s="27"/>
      <c r="V32" s="27"/>
      <c r="W32" s="369"/>
    </row>
    <row r="33" spans="1:23">
      <c r="A33" s="390"/>
      <c r="B33" s="359"/>
      <c r="C33" s="38">
        <f t="shared" si="0"/>
        <v>25</v>
      </c>
      <c r="D33" s="98"/>
      <c r="E33" s="109"/>
      <c r="F33" s="99"/>
      <c r="G33" s="36"/>
      <c r="H33" s="41"/>
      <c r="I33" s="42"/>
      <c r="J33" s="36"/>
      <c r="K33" s="43"/>
      <c r="L33" s="27"/>
      <c r="M33" s="27"/>
      <c r="N33" s="36"/>
      <c r="O33" s="43"/>
      <c r="P33" s="27"/>
      <c r="Q33" s="36"/>
      <c r="R33" s="43"/>
      <c r="S33" s="27"/>
      <c r="T33" s="27"/>
      <c r="U33" s="27"/>
      <c r="V33" s="27"/>
      <c r="W33" s="369"/>
    </row>
    <row r="34" spans="1:23">
      <c r="A34" s="390"/>
      <c r="B34" s="359"/>
      <c r="C34" s="38">
        <f t="shared" si="0"/>
        <v>26</v>
      </c>
      <c r="D34" s="98"/>
      <c r="E34" s="109"/>
      <c r="F34" s="99"/>
      <c r="G34" s="36"/>
      <c r="H34" s="41"/>
      <c r="I34" s="42"/>
      <c r="J34" s="36"/>
      <c r="K34" s="43"/>
      <c r="L34" s="27"/>
      <c r="M34" s="27"/>
      <c r="N34" s="36"/>
      <c r="O34" s="43"/>
      <c r="P34" s="27"/>
      <c r="Q34" s="36"/>
      <c r="R34" s="43"/>
      <c r="S34" s="27"/>
      <c r="T34" s="27"/>
      <c r="U34" s="27"/>
      <c r="V34" s="27"/>
      <c r="W34" s="369"/>
    </row>
    <row r="35" spans="1:23">
      <c r="A35" s="390"/>
      <c r="B35" s="359"/>
      <c r="C35" s="38">
        <f t="shared" si="0"/>
        <v>27</v>
      </c>
      <c r="D35" s="98"/>
      <c r="E35" s="109"/>
      <c r="F35" s="99"/>
      <c r="G35" s="36"/>
      <c r="H35" s="41"/>
      <c r="I35" s="42"/>
      <c r="J35" s="36"/>
      <c r="K35" s="43"/>
      <c r="L35" s="27"/>
      <c r="M35" s="27"/>
      <c r="N35" s="36"/>
      <c r="O35" s="43"/>
      <c r="P35" s="27"/>
      <c r="Q35" s="36"/>
      <c r="R35" s="43"/>
      <c r="S35" s="27"/>
      <c r="T35" s="27"/>
      <c r="U35" s="27"/>
      <c r="V35" s="27"/>
      <c r="W35" s="369"/>
    </row>
    <row r="36" spans="1:23">
      <c r="A36" s="390"/>
      <c r="B36" s="359"/>
      <c r="C36" s="38">
        <f t="shared" si="0"/>
        <v>28</v>
      </c>
      <c r="D36" s="98"/>
      <c r="E36" s="109"/>
      <c r="F36" s="99"/>
      <c r="G36" s="36"/>
      <c r="H36" s="41"/>
      <c r="I36" s="42"/>
      <c r="J36" s="36"/>
      <c r="K36" s="43"/>
      <c r="L36" s="27"/>
      <c r="M36" s="27"/>
      <c r="N36" s="36"/>
      <c r="O36" s="43"/>
      <c r="P36" s="27"/>
      <c r="Q36" s="36"/>
      <c r="R36" s="43"/>
      <c r="S36" s="27"/>
      <c r="T36" s="27"/>
      <c r="U36" s="27"/>
      <c r="V36" s="27"/>
      <c r="W36" s="369"/>
    </row>
    <row r="37" spans="1:23">
      <c r="A37" s="390"/>
      <c r="B37" s="359"/>
      <c r="C37" s="38">
        <f t="shared" si="0"/>
        <v>29</v>
      </c>
      <c r="D37" s="98"/>
      <c r="E37" s="109"/>
      <c r="F37" s="99"/>
      <c r="G37" s="36"/>
      <c r="H37" s="41"/>
      <c r="I37" s="42"/>
      <c r="J37" s="36"/>
      <c r="K37" s="43"/>
      <c r="L37" s="27"/>
      <c r="M37" s="27"/>
      <c r="N37" s="36"/>
      <c r="O37" s="43"/>
      <c r="P37" s="27"/>
      <c r="Q37" s="36"/>
      <c r="R37" s="43"/>
      <c r="S37" s="27"/>
      <c r="T37" s="27"/>
      <c r="U37" s="27"/>
      <c r="V37" s="27"/>
      <c r="W37" s="369"/>
    </row>
    <row r="38" spans="1:23">
      <c r="A38" s="390"/>
      <c r="B38" s="359"/>
      <c r="C38" s="38">
        <f t="shared" si="0"/>
        <v>30</v>
      </c>
      <c r="D38" s="98"/>
      <c r="E38" s="109"/>
      <c r="F38" s="99"/>
      <c r="G38" s="36"/>
      <c r="H38" s="41"/>
      <c r="I38" s="42"/>
      <c r="J38" s="36"/>
      <c r="K38" s="43"/>
      <c r="L38" s="27"/>
      <c r="M38" s="27"/>
      <c r="N38" s="36"/>
      <c r="O38" s="43"/>
      <c r="P38" s="27"/>
      <c r="Q38" s="36"/>
      <c r="R38" s="43"/>
      <c r="S38" s="27"/>
      <c r="T38" s="27"/>
      <c r="U38" s="27"/>
      <c r="V38" s="27"/>
      <c r="W38" s="369"/>
    </row>
    <row r="39" spans="1:23">
      <c r="A39" s="390"/>
      <c r="B39" s="359"/>
      <c r="C39" s="38">
        <f t="shared" si="0"/>
        <v>31</v>
      </c>
      <c r="D39" s="98"/>
      <c r="E39" s="109"/>
      <c r="F39" s="99"/>
      <c r="G39" s="36"/>
      <c r="H39" s="41"/>
      <c r="I39" s="42"/>
      <c r="J39" s="36"/>
      <c r="K39" s="43"/>
      <c r="L39" s="27"/>
      <c r="M39" s="27"/>
      <c r="N39" s="36"/>
      <c r="O39" s="43"/>
      <c r="P39" s="27"/>
      <c r="Q39" s="36"/>
      <c r="R39" s="43"/>
      <c r="S39" s="27"/>
      <c r="T39" s="27"/>
      <c r="U39" s="27"/>
      <c r="V39" s="27"/>
      <c r="W39" s="369"/>
    </row>
    <row r="40" spans="1:23">
      <c r="A40" s="390"/>
      <c r="B40" s="359"/>
      <c r="C40" s="38">
        <f t="shared" si="0"/>
        <v>32</v>
      </c>
      <c r="D40" s="98"/>
      <c r="E40" s="109"/>
      <c r="F40" s="99"/>
      <c r="G40" s="36"/>
      <c r="H40" s="41"/>
      <c r="I40" s="42"/>
      <c r="J40" s="36"/>
      <c r="K40" s="43"/>
      <c r="L40" s="27"/>
      <c r="M40" s="27"/>
      <c r="N40" s="36"/>
      <c r="O40" s="43"/>
      <c r="P40" s="27"/>
      <c r="Q40" s="36"/>
      <c r="R40" s="43"/>
      <c r="S40" s="27"/>
      <c r="T40" s="27"/>
      <c r="U40" s="27"/>
      <c r="V40" s="27"/>
      <c r="W40" s="369"/>
    </row>
    <row r="41" spans="1:23">
      <c r="A41" s="390"/>
      <c r="B41" s="359"/>
      <c r="C41" s="38">
        <f t="shared" si="0"/>
        <v>33</v>
      </c>
      <c r="D41" s="98"/>
      <c r="E41" s="109"/>
      <c r="F41" s="99"/>
      <c r="G41" s="36"/>
      <c r="H41" s="41"/>
      <c r="I41" s="42"/>
      <c r="J41" s="36"/>
      <c r="K41" s="43"/>
      <c r="L41" s="27"/>
      <c r="M41" s="27"/>
      <c r="N41" s="36"/>
      <c r="O41" s="43"/>
      <c r="P41" s="27"/>
      <c r="Q41" s="36"/>
      <c r="R41" s="43"/>
      <c r="S41" s="27"/>
      <c r="T41" s="27"/>
      <c r="U41" s="27"/>
      <c r="V41" s="27"/>
      <c r="W41" s="369"/>
    </row>
    <row r="42" spans="1:23">
      <c r="A42" s="390"/>
      <c r="B42" s="359"/>
      <c r="C42" s="38">
        <f t="shared" si="0"/>
        <v>34</v>
      </c>
      <c r="D42" s="98"/>
      <c r="E42" s="109"/>
      <c r="F42" s="99"/>
      <c r="G42" s="36"/>
      <c r="H42" s="41"/>
      <c r="I42" s="42"/>
      <c r="J42" s="36"/>
      <c r="K42" s="43"/>
      <c r="L42" s="27"/>
      <c r="M42" s="27"/>
      <c r="N42" s="36"/>
      <c r="O42" s="43"/>
      <c r="P42" s="27"/>
      <c r="Q42" s="36"/>
      <c r="R42" s="43"/>
      <c r="S42" s="27"/>
      <c r="T42" s="27"/>
      <c r="U42" s="27"/>
      <c r="V42" s="27"/>
      <c r="W42" s="369"/>
    </row>
    <row r="43" spans="1:23">
      <c r="A43" s="390"/>
      <c r="B43" s="359"/>
      <c r="C43" s="38">
        <f t="shared" si="0"/>
        <v>35</v>
      </c>
      <c r="D43" s="98"/>
      <c r="E43" s="109"/>
      <c r="F43" s="99"/>
      <c r="G43" s="36"/>
      <c r="H43" s="41"/>
      <c r="I43" s="42"/>
      <c r="J43" s="36"/>
      <c r="K43" s="43"/>
      <c r="L43" s="27"/>
      <c r="M43" s="27"/>
      <c r="N43" s="36"/>
      <c r="O43" s="43"/>
      <c r="P43" s="27"/>
      <c r="Q43" s="36"/>
      <c r="R43" s="43"/>
      <c r="S43" s="27"/>
      <c r="T43" s="27"/>
      <c r="U43" s="27"/>
      <c r="V43" s="27"/>
      <c r="W43" s="369"/>
    </row>
    <row r="44" spans="1:23">
      <c r="A44" s="390"/>
      <c r="B44" s="359"/>
      <c r="C44" s="38">
        <f t="shared" si="0"/>
        <v>36</v>
      </c>
      <c r="D44" s="98"/>
      <c r="E44" s="109"/>
      <c r="F44" s="99"/>
      <c r="G44" s="36"/>
      <c r="H44" s="41"/>
      <c r="I44" s="42"/>
      <c r="J44" s="36"/>
      <c r="K44" s="43"/>
      <c r="L44" s="27"/>
      <c r="M44" s="27"/>
      <c r="N44" s="36"/>
      <c r="O44" s="43"/>
      <c r="P44" s="27"/>
      <c r="Q44" s="36"/>
      <c r="R44" s="43"/>
      <c r="S44" s="27"/>
      <c r="T44" s="27"/>
      <c r="U44" s="27"/>
      <c r="V44" s="27"/>
      <c r="W44" s="369"/>
    </row>
    <row r="45" spans="1:23">
      <c r="A45" s="390"/>
      <c r="B45" s="359"/>
      <c r="C45" s="38">
        <f t="shared" si="0"/>
        <v>37</v>
      </c>
      <c r="D45" s="98"/>
      <c r="E45" s="109"/>
      <c r="F45" s="99"/>
      <c r="G45" s="36"/>
      <c r="H45" s="41"/>
      <c r="I45" s="42"/>
      <c r="J45" s="36"/>
      <c r="K45" s="43"/>
      <c r="L45" s="27"/>
      <c r="M45" s="27"/>
      <c r="N45" s="36"/>
      <c r="O45" s="43"/>
      <c r="P45" s="27"/>
      <c r="Q45" s="36"/>
      <c r="R45" s="43"/>
      <c r="S45" s="27"/>
      <c r="T45" s="27"/>
      <c r="U45" s="27"/>
      <c r="V45" s="27"/>
      <c r="W45" s="369"/>
    </row>
    <row r="46" spans="1:23">
      <c r="A46" s="390"/>
      <c r="B46" s="359"/>
      <c r="C46" s="38">
        <f t="shared" si="0"/>
        <v>38</v>
      </c>
      <c r="D46" s="98"/>
      <c r="E46" s="109"/>
      <c r="F46" s="99"/>
      <c r="G46" s="36"/>
      <c r="H46" s="41"/>
      <c r="I46" s="42"/>
      <c r="J46" s="36"/>
      <c r="K46" s="43"/>
      <c r="L46" s="27"/>
      <c r="M46" s="27"/>
      <c r="N46" s="36"/>
      <c r="O46" s="43"/>
      <c r="P46" s="27"/>
      <c r="Q46" s="36"/>
      <c r="R46" s="43"/>
      <c r="S46" s="27"/>
      <c r="T46" s="27"/>
      <c r="U46" s="27"/>
      <c r="V46" s="27"/>
      <c r="W46" s="369"/>
    </row>
    <row r="47" spans="1:23">
      <c r="A47" s="390"/>
      <c r="B47" s="359"/>
      <c r="C47" s="38">
        <f t="shared" si="0"/>
        <v>39</v>
      </c>
      <c r="D47" s="98"/>
      <c r="E47" s="109"/>
      <c r="F47" s="99"/>
      <c r="G47" s="36"/>
      <c r="H47" s="41"/>
      <c r="I47" s="42"/>
      <c r="J47" s="36"/>
      <c r="K47" s="43"/>
      <c r="L47" s="27"/>
      <c r="M47" s="27"/>
      <c r="N47" s="36"/>
      <c r="O47" s="43"/>
      <c r="P47" s="27"/>
      <c r="Q47" s="36"/>
      <c r="R47" s="43"/>
      <c r="S47" s="27"/>
      <c r="T47" s="27"/>
      <c r="U47" s="27"/>
      <c r="V47" s="27"/>
      <c r="W47" s="369"/>
    </row>
    <row r="48" spans="1:23">
      <c r="A48" s="390"/>
      <c r="B48" s="359"/>
      <c r="C48" s="38">
        <f t="shared" si="0"/>
        <v>40</v>
      </c>
      <c r="D48" s="98"/>
      <c r="E48" s="109"/>
      <c r="F48" s="99"/>
      <c r="G48" s="36"/>
      <c r="H48" s="41"/>
      <c r="I48" s="42"/>
      <c r="J48" s="36"/>
      <c r="K48" s="43"/>
      <c r="L48" s="27"/>
      <c r="M48" s="27"/>
      <c r="N48" s="36"/>
      <c r="O48" s="43"/>
      <c r="P48" s="27"/>
      <c r="Q48" s="36"/>
      <c r="R48" s="43"/>
      <c r="S48" s="27"/>
      <c r="T48" s="27"/>
      <c r="U48" s="27"/>
      <c r="V48" s="27"/>
      <c r="W48" s="369"/>
    </row>
    <row r="49" spans="1:23">
      <c r="A49" s="390"/>
      <c r="B49" s="359"/>
      <c r="C49" s="38">
        <f t="shared" si="0"/>
        <v>41</v>
      </c>
      <c r="D49" s="98"/>
      <c r="E49" s="109"/>
      <c r="F49" s="99"/>
      <c r="G49" s="36"/>
      <c r="H49" s="41"/>
      <c r="I49" s="42"/>
      <c r="J49" s="36"/>
      <c r="K49" s="43"/>
      <c r="L49" s="27"/>
      <c r="M49" s="27"/>
      <c r="N49" s="36"/>
      <c r="O49" s="43"/>
      <c r="P49" s="27"/>
      <c r="Q49" s="36"/>
      <c r="R49" s="43"/>
      <c r="S49" s="27"/>
      <c r="T49" s="27"/>
      <c r="U49" s="27"/>
      <c r="V49" s="27"/>
      <c r="W49" s="369"/>
    </row>
    <row r="50" spans="1:23">
      <c r="A50" s="390"/>
      <c r="B50" s="359"/>
      <c r="C50" s="38">
        <f t="shared" si="0"/>
        <v>42</v>
      </c>
      <c r="D50" s="98"/>
      <c r="E50" s="109"/>
      <c r="F50" s="99"/>
      <c r="G50" s="36"/>
      <c r="H50" s="41"/>
      <c r="I50" s="42"/>
      <c r="J50" s="36"/>
      <c r="K50" s="43"/>
      <c r="L50" s="27"/>
      <c r="M50" s="27"/>
      <c r="N50" s="36"/>
      <c r="O50" s="43"/>
      <c r="P50" s="27"/>
      <c r="Q50" s="36"/>
      <c r="R50" s="43"/>
      <c r="S50" s="27"/>
      <c r="T50" s="27"/>
      <c r="U50" s="27"/>
      <c r="V50" s="27"/>
      <c r="W50" s="369"/>
    </row>
    <row r="51" spans="1:23">
      <c r="A51" s="390"/>
      <c r="B51" s="359"/>
      <c r="C51" s="38">
        <f t="shared" si="0"/>
        <v>43</v>
      </c>
      <c r="D51" s="98"/>
      <c r="E51" s="109"/>
      <c r="F51" s="99"/>
      <c r="G51" s="36"/>
      <c r="H51" s="41"/>
      <c r="I51" s="42"/>
      <c r="J51" s="36"/>
      <c r="K51" s="43"/>
      <c r="L51" s="27"/>
      <c r="M51" s="27"/>
      <c r="N51" s="36"/>
      <c r="O51" s="43"/>
      <c r="P51" s="27"/>
      <c r="Q51" s="36"/>
      <c r="R51" s="43"/>
      <c r="S51" s="27"/>
      <c r="T51" s="27"/>
      <c r="U51" s="27"/>
      <c r="V51" s="27"/>
      <c r="W51" s="369"/>
    </row>
    <row r="52" spans="1:23">
      <c r="A52" s="390"/>
      <c r="B52" s="359"/>
      <c r="C52" s="38">
        <f t="shared" si="0"/>
        <v>44</v>
      </c>
      <c r="D52" s="98"/>
      <c r="E52" s="109"/>
      <c r="F52" s="99"/>
      <c r="G52" s="36"/>
      <c r="H52" s="41"/>
      <c r="I52" s="42"/>
      <c r="J52" s="36"/>
      <c r="K52" s="43"/>
      <c r="L52" s="27"/>
      <c r="M52" s="27"/>
      <c r="N52" s="36"/>
      <c r="O52" s="43"/>
      <c r="P52" s="27"/>
      <c r="Q52" s="36"/>
      <c r="R52" s="43"/>
      <c r="S52" s="27"/>
      <c r="T52" s="27"/>
      <c r="U52" s="27"/>
      <c r="V52" s="27"/>
      <c r="W52" s="369"/>
    </row>
    <row r="53" spans="1:23">
      <c r="A53" s="390"/>
      <c r="B53" s="359"/>
      <c r="C53" s="38">
        <f t="shared" si="0"/>
        <v>45</v>
      </c>
      <c r="D53" s="98"/>
      <c r="E53" s="109"/>
      <c r="F53" s="99"/>
      <c r="G53" s="36"/>
      <c r="H53" s="41"/>
      <c r="I53" s="42"/>
      <c r="J53" s="36"/>
      <c r="K53" s="43"/>
      <c r="L53" s="27"/>
      <c r="M53" s="27"/>
      <c r="N53" s="36"/>
      <c r="O53" s="43"/>
      <c r="P53" s="27"/>
      <c r="Q53" s="36"/>
      <c r="R53" s="43"/>
      <c r="S53" s="27"/>
      <c r="T53" s="27"/>
      <c r="U53" s="27"/>
      <c r="V53" s="27"/>
      <c r="W53" s="369"/>
    </row>
    <row r="54" spans="1:23">
      <c r="A54" s="390"/>
      <c r="B54" s="359"/>
      <c r="C54" s="38">
        <f t="shared" si="0"/>
        <v>46</v>
      </c>
      <c r="D54" s="98"/>
      <c r="E54" s="109"/>
      <c r="F54" s="99"/>
      <c r="G54" s="36"/>
      <c r="H54" s="41"/>
      <c r="I54" s="42"/>
      <c r="J54" s="36"/>
      <c r="K54" s="43"/>
      <c r="L54" s="27"/>
      <c r="M54" s="27"/>
      <c r="N54" s="36"/>
      <c r="O54" s="43"/>
      <c r="P54" s="27"/>
      <c r="Q54" s="36"/>
      <c r="R54" s="43"/>
      <c r="S54" s="27"/>
      <c r="T54" s="27"/>
      <c r="U54" s="27"/>
      <c r="V54" s="27"/>
      <c r="W54" s="369"/>
    </row>
    <row r="55" spans="1:23">
      <c r="A55" s="390"/>
      <c r="B55" s="359"/>
      <c r="C55" s="38">
        <f t="shared" si="0"/>
        <v>47</v>
      </c>
      <c r="D55" s="98"/>
      <c r="E55" s="109"/>
      <c r="F55" s="99"/>
      <c r="G55" s="36"/>
      <c r="H55" s="41"/>
      <c r="I55" s="42"/>
      <c r="J55" s="36"/>
      <c r="K55" s="43"/>
      <c r="L55" s="27"/>
      <c r="M55" s="27"/>
      <c r="N55" s="36"/>
      <c r="O55" s="43"/>
      <c r="P55" s="27"/>
      <c r="Q55" s="36"/>
      <c r="R55" s="43"/>
      <c r="S55" s="27"/>
      <c r="T55" s="27"/>
      <c r="U55" s="27"/>
      <c r="V55" s="27"/>
      <c r="W55" s="369"/>
    </row>
    <row r="56" spans="1:23">
      <c r="A56" s="390"/>
      <c r="B56" s="359"/>
      <c r="C56" s="38">
        <f t="shared" si="0"/>
        <v>48</v>
      </c>
      <c r="D56" s="98"/>
      <c r="E56" s="109"/>
      <c r="F56" s="99"/>
      <c r="G56" s="36"/>
      <c r="H56" s="41"/>
      <c r="I56" s="42"/>
      <c r="J56" s="36"/>
      <c r="K56" s="43"/>
      <c r="L56" s="27"/>
      <c r="M56" s="27"/>
      <c r="N56" s="36"/>
      <c r="O56" s="43"/>
      <c r="P56" s="27"/>
      <c r="Q56" s="36"/>
      <c r="R56" s="43"/>
      <c r="S56" s="27"/>
      <c r="T56" s="27"/>
      <c r="U56" s="27"/>
      <c r="V56" s="27"/>
      <c r="W56" s="369"/>
    </row>
    <row r="57" spans="1:23">
      <c r="A57" s="390"/>
      <c r="B57" s="359"/>
      <c r="C57" s="38">
        <f t="shared" si="0"/>
        <v>49</v>
      </c>
      <c r="D57" s="98"/>
      <c r="E57" s="109"/>
      <c r="F57" s="99"/>
      <c r="G57" s="36"/>
      <c r="H57" s="41"/>
      <c r="I57" s="42"/>
      <c r="J57" s="36"/>
      <c r="K57" s="43"/>
      <c r="L57" s="27"/>
      <c r="M57" s="27"/>
      <c r="N57" s="36"/>
      <c r="O57" s="43"/>
      <c r="P57" s="27"/>
      <c r="Q57" s="36"/>
      <c r="R57" s="43"/>
      <c r="S57" s="27"/>
      <c r="T57" s="27"/>
      <c r="U57" s="27"/>
      <c r="V57" s="27"/>
      <c r="W57" s="369"/>
    </row>
    <row r="58" spans="1:23">
      <c r="A58" s="390"/>
      <c r="B58" s="359"/>
      <c r="C58" s="355" t="s">
        <v>171</v>
      </c>
      <c r="D58" s="355"/>
      <c r="E58" s="355"/>
      <c r="F58" s="355"/>
      <c r="G58" s="355"/>
      <c r="H58" s="355"/>
      <c r="I58" s="355"/>
      <c r="J58" s="355"/>
      <c r="K58" s="355"/>
      <c r="L58" s="355"/>
      <c r="M58" s="355"/>
      <c r="N58" s="355"/>
      <c r="O58" s="355"/>
      <c r="P58" s="355"/>
      <c r="Q58" s="355"/>
      <c r="R58" s="355"/>
      <c r="S58" s="355"/>
      <c r="T58" s="355"/>
      <c r="U58" s="355"/>
      <c r="V58" s="355"/>
      <c r="W58" s="369"/>
    </row>
    <row r="59" spans="1:23" ht="18.75" customHeight="1">
      <c r="A59" s="390"/>
      <c r="B59" s="359"/>
      <c r="C59" s="368"/>
      <c r="D59" s="368"/>
      <c r="E59" s="368"/>
      <c r="F59" s="368"/>
      <c r="G59" s="368"/>
      <c r="H59" s="368"/>
      <c r="I59" s="368"/>
      <c r="J59" s="368"/>
      <c r="K59" s="368"/>
      <c r="L59" s="368"/>
      <c r="M59" s="368"/>
      <c r="N59" s="368"/>
      <c r="O59" s="368"/>
      <c r="P59" s="368"/>
      <c r="Q59" s="368"/>
      <c r="R59" s="368"/>
      <c r="S59" s="368"/>
      <c r="T59" s="368"/>
      <c r="U59" s="368"/>
      <c r="V59" s="368"/>
      <c r="W59" s="369"/>
    </row>
    <row r="60" spans="1:23" ht="18.75" customHeight="1">
      <c r="A60" s="390"/>
      <c r="B60" s="359"/>
      <c r="C60" s="378" t="s">
        <v>356</v>
      </c>
      <c r="D60" s="378"/>
      <c r="E60" s="378"/>
      <c r="F60" s="378"/>
      <c r="G60" s="378"/>
      <c r="H60" s="378"/>
      <c r="I60" s="378"/>
      <c r="J60" s="378"/>
      <c r="K60" s="378"/>
      <c r="L60" s="378"/>
      <c r="M60" s="378"/>
      <c r="N60" s="378"/>
      <c r="O60" s="356" t="s">
        <v>137</v>
      </c>
      <c r="P60" s="356"/>
      <c r="Q60" s="356"/>
      <c r="R60" s="356"/>
      <c r="S60" s="356"/>
      <c r="T60" s="377" t="s">
        <v>302</v>
      </c>
      <c r="U60" s="377"/>
      <c r="V60" s="377"/>
      <c r="W60" s="369"/>
    </row>
    <row r="61" spans="1:23" ht="18.75" customHeight="1">
      <c r="A61" s="390"/>
      <c r="B61" s="359"/>
      <c r="C61" s="378"/>
      <c r="D61" s="378"/>
      <c r="E61" s="378"/>
      <c r="F61" s="378"/>
      <c r="G61" s="378"/>
      <c r="H61" s="378"/>
      <c r="I61" s="378"/>
      <c r="J61" s="378"/>
      <c r="K61" s="378"/>
      <c r="L61" s="378"/>
      <c r="M61" s="378"/>
      <c r="N61" s="378"/>
      <c r="O61" s="356"/>
      <c r="P61" s="356"/>
      <c r="Q61" s="356"/>
      <c r="R61" s="356"/>
      <c r="S61" s="356"/>
      <c r="T61" s="377"/>
      <c r="U61" s="377"/>
      <c r="V61" s="377"/>
      <c r="W61" s="369"/>
    </row>
    <row r="62" spans="1:23" ht="18.75" customHeight="1">
      <c r="A62" s="390"/>
      <c r="B62" s="359"/>
      <c r="C62" s="368"/>
      <c r="D62" s="368"/>
      <c r="E62" s="368"/>
      <c r="F62" s="368"/>
      <c r="G62" s="368"/>
      <c r="H62" s="368"/>
      <c r="I62" s="368"/>
      <c r="J62" s="368"/>
      <c r="K62" s="368"/>
      <c r="L62" s="368"/>
      <c r="M62" s="368"/>
      <c r="N62" s="368"/>
      <c r="O62" s="368"/>
      <c r="P62" s="368"/>
      <c r="Q62" s="368"/>
      <c r="R62" s="368"/>
      <c r="S62" s="368"/>
      <c r="T62" s="368"/>
      <c r="U62" s="368"/>
      <c r="V62" s="368"/>
      <c r="W62" s="369"/>
    </row>
    <row r="63" spans="1:23" ht="18.75" customHeight="1">
      <c r="A63" s="390"/>
      <c r="B63" s="359"/>
      <c r="C63" s="357" t="s">
        <v>300</v>
      </c>
      <c r="D63" s="358"/>
      <c r="E63" s="358"/>
      <c r="F63" s="358"/>
      <c r="G63" s="104"/>
      <c r="H63" s="357" t="s">
        <v>301</v>
      </c>
      <c r="I63" s="358"/>
      <c r="J63" s="104"/>
      <c r="N63" s="104"/>
      <c r="O63" s="357" t="s">
        <v>281</v>
      </c>
      <c r="P63" s="358"/>
      <c r="Q63" s="104"/>
      <c r="R63" s="357" t="s">
        <v>195</v>
      </c>
      <c r="S63" s="358"/>
      <c r="T63" s="104"/>
      <c r="U63" s="104"/>
      <c r="V63" s="104"/>
      <c r="W63" s="369"/>
    </row>
    <row r="64" spans="1:23" ht="18.75" customHeight="1">
      <c r="A64" s="390"/>
      <c r="B64" s="359"/>
      <c r="C64" s="350" t="s">
        <v>179</v>
      </c>
      <c r="D64" s="351"/>
      <c r="E64" s="351"/>
      <c r="F64" s="105">
        <f>I9</f>
        <v>26</v>
      </c>
      <c r="G64" s="104"/>
      <c r="H64" s="321" t="s">
        <v>276</v>
      </c>
      <c r="I64" s="146">
        <v>2</v>
      </c>
      <c r="J64" s="104"/>
      <c r="N64" s="104"/>
      <c r="O64" s="321" t="s">
        <v>185</v>
      </c>
      <c r="P64" s="86">
        <f>IF(I64=1,0,3*$F$64)</f>
        <v>78</v>
      </c>
      <c r="Q64" s="104"/>
      <c r="R64" s="321" t="s">
        <v>284</v>
      </c>
      <c r="S64" s="84">
        <f>I64*(F65-F66)*(PI()*F64*F64/(4*10000))</f>
        <v>1.2742299802960202</v>
      </c>
      <c r="T64" s="104"/>
      <c r="U64" s="104"/>
      <c r="V64" s="104"/>
      <c r="W64" s="369"/>
    </row>
    <row r="65" spans="1:23" ht="18.75" customHeight="1">
      <c r="A65" s="390"/>
      <c r="B65" s="359"/>
      <c r="C65" s="350" t="s">
        <v>275</v>
      </c>
      <c r="D65" s="351"/>
      <c r="E65" s="351"/>
      <c r="F65" s="106">
        <f>I14</f>
        <v>-1</v>
      </c>
      <c r="G65" s="104"/>
      <c r="H65" s="321" t="s">
        <v>277</v>
      </c>
      <c r="I65" s="159">
        <f>IF(I64=1,1,
IF(I64=2,0.9375,
IF(I64=3,0.875,
IF(I64=4,0.8125,
IF(I64=5,0.8,"Erro N°&gt;5")))))</f>
        <v>0.9375</v>
      </c>
      <c r="J65" s="104"/>
      <c r="N65" s="104"/>
      <c r="O65" s="321" t="s">
        <v>183</v>
      </c>
      <c r="P65" s="86">
        <f>IF(I64=1,F64+15,
        IF(I64=2,P64+F64+30,
              IF(I64=3,P64+F64+30,
                    IF(I64=4,P64+F64+30,
                          IF(I64=5,SQRT(2*P64^2)+F64+30)))))</f>
        <v>134</v>
      </c>
      <c r="Q65" s="104"/>
      <c r="R65" s="155" t="s">
        <v>286</v>
      </c>
      <c r="S65" s="316">
        <f>S64*F76</f>
        <v>445.98049310360705</v>
      </c>
      <c r="T65" s="104"/>
      <c r="U65" s="104"/>
      <c r="V65" s="104"/>
      <c r="W65" s="369"/>
    </row>
    <row r="66" spans="1:23" ht="18.75" customHeight="1">
      <c r="A66" s="390"/>
      <c r="B66" s="359"/>
      <c r="C66" s="350" t="s">
        <v>181</v>
      </c>
      <c r="D66" s="351"/>
      <c r="E66" s="351"/>
      <c r="F66" s="106">
        <f>I15</f>
        <v>-13</v>
      </c>
      <c r="G66" s="104"/>
      <c r="H66" s="147" t="s">
        <v>405</v>
      </c>
      <c r="I66" s="82">
        <f>IF(I64=1,I80,
       IF(I64=2,M80,
            IF(I64=3,P80,
                 IF(I64=4,S80,
                      IF(I64=5,V80,
                           IF(I64="Erro N°&gt;5","Erro N°&gt;5"))))))</f>
        <v>250</v>
      </c>
      <c r="J66" s="104"/>
      <c r="N66" s="104"/>
      <c r="O66" s="321" t="s">
        <v>186</v>
      </c>
      <c r="P66" s="86">
        <f>IF(I64=1,F64+15,
        IF(I64=2,F64+30,
              IF(I64=3,SQRT(0.75*P64^2)+F64+30,
                    IF(I64=4,P64+F64+30,
                          IF(I64=5,SQRT(2*P64^2)+F64+30)))))</f>
        <v>56</v>
      </c>
      <c r="Q66" s="104"/>
      <c r="R66" s="321"/>
      <c r="S66" s="82"/>
      <c r="T66" s="104"/>
      <c r="U66" s="104"/>
      <c r="V66" s="104"/>
      <c r="W66" s="369"/>
    </row>
    <row r="67" spans="1:23" ht="18.75" customHeight="1">
      <c r="A67" s="390"/>
      <c r="B67" s="359"/>
      <c r="C67" s="350" t="s">
        <v>4</v>
      </c>
      <c r="D67" s="351"/>
      <c r="E67" s="351"/>
      <c r="F67" s="105" t="str">
        <f>I7</f>
        <v>C-Pré-moldada</v>
      </c>
      <c r="G67" s="104"/>
      <c r="H67" s="147" t="s">
        <v>404</v>
      </c>
      <c r="I67" s="82">
        <f>IF(I64=1,I81,
       IF(I64=2,M81,
            IF(I64=3,P81,
                 IF(I64=4,S81,
                      IF(I64=5,V81,
                           IF(I64="Erro N°&gt;5","Erro N°&gt;5"))))))</f>
        <v>250</v>
      </c>
      <c r="J67" s="104"/>
      <c r="N67" s="104"/>
      <c r="O67" s="321" t="s">
        <v>190</v>
      </c>
      <c r="P67" s="88">
        <f>IF(I64=1,"0°",
IF(I64=2,M82,
IF(I64=3,P82,
IF(I64=4,S82,
IF(I64=5,V82,"Erro N°&gt;5")))))</f>
        <v>1E-3</v>
      </c>
      <c r="Q67" s="104"/>
      <c r="R67" s="321" t="s">
        <v>285</v>
      </c>
      <c r="S67" s="156" t="str">
        <f>IF(F83="Fabricante","Fabricante",IF($F$85="Integral",$F$65-$F$66,IF($F$85="Fabricante",0,$F$85))*(PI()*$F$64*$F$64*$F$83/(4*10000*100))*7860)</f>
        <v>Fabricante</v>
      </c>
      <c r="T67" s="104"/>
      <c r="U67" s="104"/>
      <c r="V67" s="104"/>
      <c r="W67" s="369"/>
    </row>
    <row r="68" spans="1:23" ht="18.75" customHeight="1">
      <c r="A68" s="390"/>
      <c r="B68" s="359"/>
      <c r="C68" s="357" t="s">
        <v>268</v>
      </c>
      <c r="D68" s="358"/>
      <c r="E68" s="358"/>
      <c r="F68" s="358"/>
      <c r="G68" s="27"/>
      <c r="H68" s="147"/>
      <c r="I68" s="82"/>
      <c r="J68" s="27"/>
      <c r="N68" s="27"/>
      <c r="O68" s="352" t="s">
        <v>282</v>
      </c>
      <c r="P68" s="353"/>
      <c r="Q68" s="27"/>
      <c r="R68" s="321" t="s">
        <v>287</v>
      </c>
      <c r="S68" s="316" t="str">
        <f>IF(F83="Fabricante","Fabricante",S67*F77)</f>
        <v>Fabricante</v>
      </c>
      <c r="T68" s="27"/>
      <c r="U68" s="27"/>
      <c r="V68" s="27"/>
      <c r="W68" s="369"/>
    </row>
    <row r="69" spans="1:23" ht="20.25">
      <c r="A69" s="390"/>
      <c r="B69" s="359"/>
      <c r="C69" s="350" t="s">
        <v>396</v>
      </c>
      <c r="D69" s="351"/>
      <c r="E69" s="351"/>
      <c r="F69" s="79">
        <v>500</v>
      </c>
      <c r="G69" s="27"/>
      <c r="H69" s="327" t="s">
        <v>280</v>
      </c>
      <c r="I69" s="82">
        <f>IF(O60="Décourt-Quaresma (1996)",P18,
IF(O60="Aoki-Velloso (1975)",M18,
IF(O60="Teixeira (1996)",S18,
IF(O60="Média",V18,
"Erro "))))</f>
        <v>335.32367902526846</v>
      </c>
      <c r="J69" s="27"/>
      <c r="N69" s="27"/>
      <c r="O69" s="321" t="s">
        <v>226</v>
      </c>
      <c r="P69" s="318">
        <f>IF(ISNUMBER(I73),10*$I$80*(F65-F66)/(ModElast(-F66, I64, RECALQUE!BC4)*RECALQUE!BC4),"")</f>
        <v>2.0055968740972165</v>
      </c>
      <c r="Q69" s="27"/>
      <c r="R69" s="321"/>
      <c r="S69" s="82"/>
      <c r="T69" s="27"/>
      <c r="U69" s="27"/>
      <c r="V69" s="27"/>
      <c r="W69" s="369"/>
    </row>
    <row r="70" spans="1:23" ht="20.25">
      <c r="A70" s="390"/>
      <c r="B70" s="359"/>
      <c r="C70" s="350" t="s">
        <v>269</v>
      </c>
      <c r="D70" s="351"/>
      <c r="E70" s="351"/>
      <c r="F70" s="80">
        <v>0</v>
      </c>
      <c r="G70" s="27"/>
      <c r="H70" s="327" t="s">
        <v>278</v>
      </c>
      <c r="I70" s="82">
        <f>IF(O60="Décourt-Quaresma (1996)",P19,
IF(O60="Aoki-Velloso (1975)",M19,
IF(O60="Teixeira (1996)",S19,
IF(O60="Média",V19,
"Erro "))))</f>
        <v>375.85731055579538</v>
      </c>
      <c r="J70" s="27"/>
      <c r="N70" s="27"/>
      <c r="O70" s="321" t="s">
        <v>203</v>
      </c>
      <c r="P70" s="174" cm="1">
        <f t="array" ref="P70">IF(ISNUMBER(I73),SUM(IF(ISNUMBER(RECALQUE!BJ4:BJ52),RECALQUE!BJ4:BJ52,0)),"")</f>
        <v>1.0286729097071008</v>
      </c>
      <c r="Q70" s="27"/>
      <c r="R70" s="321" t="s">
        <v>290</v>
      </c>
      <c r="S70" s="317">
        <f>I64*(F65-F66)</f>
        <v>24</v>
      </c>
      <c r="T70" s="27"/>
      <c r="U70" s="27"/>
      <c r="V70" s="27"/>
      <c r="W70" s="369"/>
    </row>
    <row r="71" spans="1:23" ht="20.25">
      <c r="A71" s="390"/>
      <c r="B71" s="359"/>
      <c r="C71" s="350" t="s">
        <v>323</v>
      </c>
      <c r="D71" s="351"/>
      <c r="E71" s="351"/>
      <c r="F71" s="81">
        <v>0</v>
      </c>
      <c r="G71" s="27"/>
      <c r="H71" s="327" t="s">
        <v>279</v>
      </c>
      <c r="I71" s="82">
        <f>IF(O60="Décourt-Quaresma (1996)",P20,
IF(O60="Aoki-Velloso (1975)",M20,
IF(O60="Teixeira (1996)",S20,
IF(O60="Média",V20,
"Erro "))))</f>
        <v>711.18098958106384</v>
      </c>
      <c r="J71" s="27"/>
      <c r="N71" s="27"/>
      <c r="O71" s="327"/>
      <c r="P71" s="82"/>
      <c r="Q71" s="27"/>
      <c r="R71" s="321" t="s">
        <v>291</v>
      </c>
      <c r="S71" s="316">
        <f>S70*F75</f>
        <v>1920</v>
      </c>
      <c r="T71" s="27"/>
      <c r="U71" s="27"/>
      <c r="V71" s="27"/>
      <c r="W71" s="369"/>
    </row>
    <row r="72" spans="1:23">
      <c r="A72" s="390"/>
      <c r="B72" s="359"/>
      <c r="C72" s="350" t="s">
        <v>172</v>
      </c>
      <c r="D72" s="351"/>
      <c r="E72" s="351"/>
      <c r="F72" s="81">
        <v>0</v>
      </c>
      <c r="G72" s="27"/>
      <c r="H72" s="321"/>
      <c r="I72" s="82"/>
      <c r="J72" s="27"/>
      <c r="N72" s="27"/>
      <c r="O72" s="352" t="s">
        <v>283</v>
      </c>
      <c r="P72" s="353"/>
      <c r="Q72" s="27"/>
      <c r="R72" s="321"/>
      <c r="S72" s="82"/>
      <c r="T72" s="27"/>
      <c r="U72" s="27"/>
      <c r="V72" s="27"/>
      <c r="W72" s="369"/>
    </row>
    <row r="73" spans="1:23" ht="21">
      <c r="A73" s="390"/>
      <c r="B73" s="359"/>
      <c r="C73" s="352" t="s">
        <v>309</v>
      </c>
      <c r="D73" s="353"/>
      <c r="E73" s="353"/>
      <c r="F73" s="353"/>
      <c r="G73" s="27"/>
      <c r="H73" s="147" t="s">
        <v>406</v>
      </c>
      <c r="I73" s="82">
        <f>IF(O60=K8,M22*$I$65,
        IF(O60=O8,P22*$I$65,
              IF(O60=R8,S22,V22*$I$65)))</f>
        <v>350.91167249065649</v>
      </c>
      <c r="J73" s="27"/>
      <c r="N73" s="27"/>
      <c r="O73" s="321" t="s">
        <v>194</v>
      </c>
      <c r="P73" s="140">
        <f>I66*1000/(PI()*$F$64*$F$64*100/4)</f>
        <v>4.708726126979152</v>
      </c>
      <c r="Q73" s="27"/>
      <c r="R73" s="321" t="s">
        <v>289</v>
      </c>
      <c r="S73" s="316">
        <f>F74</f>
        <v>500</v>
      </c>
      <c r="T73" s="27"/>
      <c r="U73" s="27"/>
      <c r="V73" s="27"/>
      <c r="W73" s="369"/>
    </row>
    <row r="74" spans="1:23" ht="20.25" customHeight="1">
      <c r="A74" s="390"/>
      <c r="B74" s="359"/>
      <c r="C74" s="350" t="s">
        <v>198</v>
      </c>
      <c r="D74" s="351"/>
      <c r="E74" s="351"/>
      <c r="F74" s="100">
        <v>500</v>
      </c>
      <c r="G74" s="27"/>
      <c r="H74" s="321"/>
      <c r="I74" s="82"/>
      <c r="J74" s="27"/>
      <c r="N74" s="27"/>
      <c r="O74" s="327" t="s">
        <v>183</v>
      </c>
      <c r="P74" s="317" t="str">
        <f>IF($F$85="Integral",$F$65-$F$66,
        IF($F$85="Fabricante","Fabricante",$F$85))</f>
        <v>Fabricante</v>
      </c>
      <c r="Q74" s="27"/>
      <c r="R74" s="321"/>
      <c r="S74" s="82"/>
      <c r="T74" s="27"/>
      <c r="U74" s="27"/>
      <c r="V74" s="27"/>
      <c r="W74" s="369"/>
    </row>
    <row r="75" spans="1:23">
      <c r="A75" s="390"/>
      <c r="B75" s="359"/>
      <c r="C75" s="350" t="s">
        <v>196</v>
      </c>
      <c r="D75" s="351"/>
      <c r="E75" s="351"/>
      <c r="F75" s="101">
        <v>80</v>
      </c>
      <c r="G75" s="27"/>
      <c r="H75" s="321"/>
      <c r="I75" s="82"/>
      <c r="J75" s="27"/>
      <c r="N75" s="27"/>
      <c r="O75" s="327" t="s">
        <v>398</v>
      </c>
      <c r="P75" s="145" t="str">
        <f>IF($F$83="Fabricante","Fabricante",(PI()*$F$64*$F$64*$F$84/(4*100)))</f>
        <v>Fabricante</v>
      </c>
      <c r="Q75" s="27"/>
      <c r="R75" s="321" t="s">
        <v>288</v>
      </c>
      <c r="S75" s="316" t="str">
        <f>IF(F83="Fabricante","Fabricante",SUM(S65,S68,S71,S73))</f>
        <v>Fabricante</v>
      </c>
      <c r="T75" s="27"/>
      <c r="U75" s="27"/>
      <c r="V75" s="27"/>
      <c r="W75" s="369"/>
    </row>
    <row r="76" spans="1:23">
      <c r="A76" s="390"/>
      <c r="B76" s="359"/>
      <c r="C76" s="350" t="s">
        <v>197</v>
      </c>
      <c r="D76" s="351"/>
      <c r="E76" s="351"/>
      <c r="F76" s="102">
        <v>350</v>
      </c>
      <c r="G76" s="27"/>
      <c r="H76" s="44"/>
      <c r="I76" s="29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369"/>
    </row>
    <row r="77" spans="1:23" ht="18.75" customHeight="1">
      <c r="A77" s="390"/>
      <c r="B77" s="359"/>
      <c r="C77" s="350" t="s">
        <v>326</v>
      </c>
      <c r="D77" s="351"/>
      <c r="E77" s="351"/>
      <c r="F77" s="142">
        <v>10</v>
      </c>
      <c r="G77" s="27"/>
      <c r="H77" s="384" t="s">
        <v>362</v>
      </c>
      <c r="I77" s="384"/>
      <c r="J77" s="384"/>
      <c r="K77" s="384"/>
      <c r="L77" s="384"/>
      <c r="M77" s="384"/>
      <c r="N77" s="384"/>
      <c r="O77" s="384"/>
      <c r="P77" s="384"/>
      <c r="Q77" s="384"/>
      <c r="R77" s="384"/>
      <c r="S77" s="384"/>
      <c r="T77" s="384"/>
      <c r="U77" s="384"/>
      <c r="V77" s="384"/>
      <c r="W77" s="369"/>
    </row>
    <row r="78" spans="1:23" ht="18.75" customHeight="1">
      <c r="A78" s="390"/>
      <c r="B78" s="359"/>
      <c r="C78" s="352" t="s">
        <v>211</v>
      </c>
      <c r="D78" s="353"/>
      <c r="E78" s="353"/>
      <c r="F78" s="353"/>
      <c r="G78" s="27"/>
      <c r="H78" s="384"/>
      <c r="I78" s="384"/>
      <c r="J78" s="384"/>
      <c r="K78" s="384"/>
      <c r="L78" s="384"/>
      <c r="M78" s="384"/>
      <c r="N78" s="384"/>
      <c r="O78" s="384"/>
      <c r="P78" s="384"/>
      <c r="Q78" s="384"/>
      <c r="R78" s="384"/>
      <c r="S78" s="384"/>
      <c r="T78" s="384"/>
      <c r="U78" s="384"/>
      <c r="V78" s="384"/>
      <c r="W78" s="369"/>
    </row>
    <row r="79" spans="1:23">
      <c r="A79" s="390"/>
      <c r="B79" s="359"/>
      <c r="C79" s="350" t="s">
        <v>213</v>
      </c>
      <c r="D79" s="351"/>
      <c r="E79" s="351"/>
      <c r="F79" s="202">
        <f>I17</f>
        <v>28</v>
      </c>
      <c r="G79" s="27"/>
      <c r="H79" s="357" t="s">
        <v>173</v>
      </c>
      <c r="I79" s="358"/>
      <c r="J79" s="27"/>
      <c r="K79" s="379" t="s">
        <v>178</v>
      </c>
      <c r="L79" s="380"/>
      <c r="M79" s="380"/>
      <c r="N79" s="27"/>
      <c r="O79" s="379" t="s">
        <v>187</v>
      </c>
      <c r="P79" s="380"/>
      <c r="Q79" s="27"/>
      <c r="R79" s="379" t="s">
        <v>188</v>
      </c>
      <c r="S79" s="380"/>
      <c r="T79" s="27"/>
      <c r="U79" s="379" t="s">
        <v>273</v>
      </c>
      <c r="V79" s="380"/>
      <c r="W79" s="369"/>
    </row>
    <row r="80" spans="1:23">
      <c r="A80" s="390"/>
      <c r="B80" s="359"/>
      <c r="C80" s="350" t="s">
        <v>223</v>
      </c>
      <c r="D80" s="351"/>
      <c r="E80" s="351"/>
      <c r="F80" s="69">
        <f>I23</f>
        <v>0.5</v>
      </c>
      <c r="G80" s="27"/>
      <c r="H80" s="321" t="s">
        <v>191</v>
      </c>
      <c r="I80" s="82">
        <v>500</v>
      </c>
      <c r="J80" s="27"/>
      <c r="K80" s="350" t="s">
        <v>191</v>
      </c>
      <c r="L80" s="351"/>
      <c r="M80" s="82">
        <v>250</v>
      </c>
      <c r="N80" s="27"/>
      <c r="O80" s="321" t="s">
        <v>191</v>
      </c>
      <c r="P80" s="82">
        <v>166.66666666666666</v>
      </c>
      <c r="Q80" s="27"/>
      <c r="R80" s="321" t="s">
        <v>191</v>
      </c>
      <c r="S80" s="82">
        <v>125</v>
      </c>
      <c r="T80" s="27"/>
      <c r="U80" s="321" t="s">
        <v>191</v>
      </c>
      <c r="V80" s="176">
        <v>100</v>
      </c>
      <c r="W80" s="369"/>
    </row>
    <row r="81" spans="1:23">
      <c r="A81" s="390"/>
      <c r="B81" s="359"/>
      <c r="C81" s="350" t="s">
        <v>267</v>
      </c>
      <c r="D81" s="351"/>
      <c r="E81" s="351"/>
      <c r="F81" s="69" t="str">
        <f>I24</f>
        <v>II</v>
      </c>
      <c r="G81" s="27"/>
      <c r="H81" s="321" t="s">
        <v>192</v>
      </c>
      <c r="I81" s="82">
        <v>0</v>
      </c>
      <c r="J81" s="27"/>
      <c r="K81" s="350" t="s">
        <v>192</v>
      </c>
      <c r="L81" s="351"/>
      <c r="M81" s="82">
        <v>250</v>
      </c>
      <c r="N81" s="27"/>
      <c r="O81" s="321" t="s">
        <v>192</v>
      </c>
      <c r="P81" s="82">
        <v>166.66666666666666</v>
      </c>
      <c r="Q81" s="27"/>
      <c r="R81" s="321" t="s">
        <v>192</v>
      </c>
      <c r="S81" s="82">
        <v>125</v>
      </c>
      <c r="T81" s="27"/>
      <c r="U81" s="321" t="s">
        <v>192</v>
      </c>
      <c r="V81" s="176">
        <v>100</v>
      </c>
      <c r="W81" s="369"/>
    </row>
    <row r="82" spans="1:23">
      <c r="A82" s="390"/>
      <c r="B82" s="359"/>
      <c r="C82" s="350" t="s">
        <v>266</v>
      </c>
      <c r="D82" s="351"/>
      <c r="E82" s="351"/>
      <c r="F82" s="139" t="str">
        <f>IF(AND(I7="F-Hélice Contínua",OR(F81="I",F81="II")),Compatibilidade!Z5,
IF(AND(I7="F-Hélice Contínua",OR(F81="III",F81="IV")),Compatibilidade!Z6,
IF(AND(I7="D-Escavada",OR(F81="I",F81="II")),Compatibilidade!Z7,
IF(AND(I7="D-Escavada",OR(F81="III",F81="IV")),Compatibilidade!Z8,
IF(AND(I7="H-Escavada (bentonita)",OR(F81="I",F81="II")),Compatibilidade!Z9,
IF(AND(I7="H-Escavada (bentonita)",OR(F81="III",F81="IV")),Compatibilidade!Z10,
IF(AND(I7="J-Strauss",OR(F81="I",F81="II")),Compatibilidade!Z11,
IF(AND(I7="J-Strauss",OR(F81="III",F81="IV")),"Inexistente",
IF(AND(I7="A-Franki",OR(F81="I",F81="II",F81="III",F81="IV")),"20 MPa",
IF(AND(I7="E-Raiz",OR(F81="I",F81="II",F81="III",F81="IV")),Compatibilidade!Z12,
IF(AND(I7="B-Metálica",OR(F81="I",F81="II",F81="III",F81="IV")),"Fornecedor",
IF(AND(I7="C-Pré-moldada",OR(F81="I",F81="II",F81="III",F81="IV")),"Fornecedor",
IF(AND(I7="G-Ômega",OR(F81="I",F81="II",F81="III",F81="IV")),"Fornecedor","Fornecedor")))))))))))))</f>
        <v>Fornecedor</v>
      </c>
      <c r="G82" s="27"/>
      <c r="H82" s="321" t="s">
        <v>190</v>
      </c>
      <c r="I82" s="88">
        <v>0</v>
      </c>
      <c r="J82" s="27"/>
      <c r="K82" s="350" t="s">
        <v>190</v>
      </c>
      <c r="L82" s="351"/>
      <c r="M82" s="88">
        <v>1E-3</v>
      </c>
      <c r="N82" s="27"/>
      <c r="O82" s="321" t="s">
        <v>190</v>
      </c>
      <c r="P82" s="88">
        <v>1E-3</v>
      </c>
      <c r="Q82" s="27"/>
      <c r="R82" s="321" t="s">
        <v>189</v>
      </c>
      <c r="S82" s="88">
        <v>0</v>
      </c>
      <c r="T82" s="27"/>
      <c r="U82" s="321" t="s">
        <v>189</v>
      </c>
      <c r="V82" s="177">
        <v>0</v>
      </c>
      <c r="W82" s="369"/>
    </row>
    <row r="83" spans="1:23">
      <c r="A83" s="390"/>
      <c r="B83" s="359"/>
      <c r="C83" s="350" t="s">
        <v>321</v>
      </c>
      <c r="D83" s="351"/>
      <c r="E83" s="351"/>
      <c r="F83" s="137" t="str">
        <f>IF(I7="F-Hélice Contínua",Compatibilidade!AB5,
IF(I7="D-Escavada",Compatibilidade!AB7,
IF(I7="H-Escavada (bentonita)",Compatibilidade!AB9,
IF(AND(I7="J-Strauss",OR(F81="I",F81="II")),Compatibilidade!AB11,
IF(AND(I7="J-Strauss",OR(F81="III",F81="IV")),"Inexistente",
IF(I7="A-Franki",Compatibilidade!AB12,
IF(I7="E-Raiz",Compatibilidade!AB15,
IF(OR(I7="B-Metálica",I7="C-Pré-moldada",I7="G-Ômega"),"Fabricante",
"Fabricante"))))))))</f>
        <v>Fabricante</v>
      </c>
      <c r="G83" s="27"/>
      <c r="H83" s="321" t="s">
        <v>298</v>
      </c>
      <c r="I83" s="83">
        <v>1</v>
      </c>
      <c r="J83" s="27"/>
      <c r="K83" s="350" t="s">
        <v>298</v>
      </c>
      <c r="L83" s="351"/>
      <c r="M83" s="83">
        <f>1-1/16</f>
        <v>0.9375</v>
      </c>
      <c r="N83" s="27"/>
      <c r="O83" s="321" t="s">
        <v>298</v>
      </c>
      <c r="P83" s="83">
        <f>1-2/16</f>
        <v>0.875</v>
      </c>
      <c r="Q83" s="27"/>
      <c r="R83" s="321" t="s">
        <v>298</v>
      </c>
      <c r="S83" s="83">
        <f>1-3/16</f>
        <v>0.8125</v>
      </c>
      <c r="T83" s="27"/>
      <c r="U83" s="321" t="s">
        <v>298</v>
      </c>
      <c r="V83" s="159">
        <v>0.8</v>
      </c>
      <c r="W83" s="369"/>
    </row>
    <row r="84" spans="1:23">
      <c r="A84" s="390"/>
      <c r="B84" s="359"/>
      <c r="C84" s="350" t="s">
        <v>397</v>
      </c>
      <c r="D84" s="351"/>
      <c r="E84" s="351"/>
      <c r="F84" s="80">
        <v>0.01</v>
      </c>
      <c r="G84" s="27"/>
      <c r="H84" s="321"/>
      <c r="I84" s="82"/>
      <c r="J84" s="27"/>
      <c r="K84" s="321"/>
      <c r="L84" s="322"/>
      <c r="M84" s="82"/>
      <c r="N84" s="27"/>
      <c r="O84" s="321"/>
      <c r="P84" s="82"/>
      <c r="Q84" s="27"/>
      <c r="R84" s="321"/>
      <c r="S84" s="82"/>
      <c r="T84" s="27"/>
      <c r="U84" s="321"/>
      <c r="V84" s="82"/>
      <c r="W84" s="369"/>
    </row>
    <row r="85" spans="1:23" ht="20.25">
      <c r="A85" s="390"/>
      <c r="B85" s="359"/>
      <c r="C85" s="350" t="s">
        <v>318</v>
      </c>
      <c r="D85" s="351"/>
      <c r="E85" s="351"/>
      <c r="F85" s="138" t="str">
        <f>IF(I7="F-Hélice Contínua",Compatibilidade!AC5,
IF(I7="D-Escavada",Compatibilidade!AC7,
IF(I7="H-Escavada (bentonita)",Compatibilidade!AC9,
IF(AND(I7="J-Strauss",OR(F81="I",F81="II")),Compatibilidade!AC11,
IF(AND(I7="J-Strauss",OR(F81="III",F81="IV")),"Inexistente",
IF(OR(I7="A-Franki",I7="E-Raiz"),"Integral",
IF(I7="B-Metálica","-",
IF(OR(I7="C-Pré-moldada",I7="G-Ômega"),"Fabricante",
"Fabricante"))))))))</f>
        <v>Fabricante</v>
      </c>
      <c r="G85" s="27"/>
      <c r="H85" s="326" t="s">
        <v>395</v>
      </c>
      <c r="I85" s="82">
        <f>I80/I83</f>
        <v>500</v>
      </c>
      <c r="J85" s="27"/>
      <c r="K85" s="346" t="s">
        <v>395</v>
      </c>
      <c r="L85" s="347"/>
      <c r="M85" s="82">
        <f>M80/M83</f>
        <v>266.66666666666669</v>
      </c>
      <c r="N85" s="27"/>
      <c r="O85" s="326" t="s">
        <v>395</v>
      </c>
      <c r="P85" s="82">
        <f>P80/P83</f>
        <v>190.47619047619045</v>
      </c>
      <c r="Q85" s="27"/>
      <c r="R85" s="326" t="s">
        <v>395</v>
      </c>
      <c r="S85" s="82">
        <f>S80/S83</f>
        <v>153.84615384615384</v>
      </c>
      <c r="T85" s="27"/>
      <c r="U85" s="326" t="s">
        <v>395</v>
      </c>
      <c r="V85" s="82">
        <f>V80/V83</f>
        <v>125</v>
      </c>
      <c r="W85" s="369"/>
    </row>
    <row r="86" spans="1:23">
      <c r="A86" s="390"/>
      <c r="B86" s="359"/>
      <c r="C86" s="350" t="s">
        <v>343</v>
      </c>
      <c r="D86" s="351"/>
      <c r="E86" s="351"/>
      <c r="F86" s="139" t="str">
        <f>IF(I7="F-Hélice Contínua",Compatibilidade!AD5,
IF(I7="D-Escavada",Compatibilidade!AD7,
IF(I7="H-Escavada (bentonita)",Compatibilidade!AD9,
IF(AND(I7="J-Strauss",OR(F81="I",F81="II")),Compatibilidade!AD11,
IF(AND(I7="J-Strauss",OR(F81="III",F81="IV")),"Inexistente",
IF(OR(I7="A-Franki",I7="E-Raiz"),Compatibilidade!AD12,
IF(OR(I7="B-Metálica",I7="C-Pré-moldada"),"-",
IF(I7="G-Ômega","Fabricante",
"Fabricante"))))))))</f>
        <v>-</v>
      </c>
      <c r="G86" s="27"/>
      <c r="H86" s="321"/>
      <c r="I86" s="82"/>
      <c r="J86" s="27"/>
      <c r="K86" s="321"/>
      <c r="L86" s="322"/>
      <c r="M86" s="82"/>
      <c r="N86" s="27"/>
      <c r="O86" s="321"/>
      <c r="P86" s="82"/>
      <c r="Q86" s="27"/>
      <c r="R86" s="321"/>
      <c r="S86" s="82"/>
      <c r="T86" s="27"/>
      <c r="U86" s="321"/>
      <c r="V86" s="82"/>
      <c r="W86" s="369"/>
    </row>
    <row r="87" spans="1:23">
      <c r="A87" s="390"/>
      <c r="B87" s="359"/>
      <c r="C87" s="350" t="s">
        <v>297</v>
      </c>
      <c r="D87" s="351"/>
      <c r="E87" s="351"/>
      <c r="F87" s="113">
        <f>I20</f>
        <v>-10</v>
      </c>
      <c r="G87" s="27"/>
      <c r="H87" s="327" t="s">
        <v>193</v>
      </c>
      <c r="I87" s="105">
        <f>$I$9</f>
        <v>26</v>
      </c>
      <c r="J87" s="27"/>
      <c r="K87" s="348" t="s">
        <v>193</v>
      </c>
      <c r="L87" s="349"/>
      <c r="M87" s="105">
        <f>$I$9</f>
        <v>26</v>
      </c>
      <c r="N87" s="27"/>
      <c r="O87" s="327" t="s">
        <v>193</v>
      </c>
      <c r="P87" s="105">
        <f>$I$9</f>
        <v>26</v>
      </c>
      <c r="Q87" s="27"/>
      <c r="R87" s="327" t="s">
        <v>193</v>
      </c>
      <c r="S87" s="105">
        <f>$I$9</f>
        <v>26</v>
      </c>
      <c r="T87" s="27"/>
      <c r="U87" s="327" t="s">
        <v>193</v>
      </c>
      <c r="V87" s="105">
        <f>$I$9</f>
        <v>26</v>
      </c>
      <c r="W87" s="369"/>
    </row>
    <row r="88" spans="1:23">
      <c r="A88" s="390"/>
      <c r="B88" s="359"/>
      <c r="G88" s="27"/>
      <c r="H88" s="327" t="s">
        <v>334</v>
      </c>
      <c r="I88" s="317">
        <f>$I$14</f>
        <v>-1</v>
      </c>
      <c r="J88" s="27"/>
      <c r="K88" s="348" t="s">
        <v>334</v>
      </c>
      <c r="L88" s="349"/>
      <c r="M88" s="317">
        <f>$I$14</f>
        <v>-1</v>
      </c>
      <c r="N88" s="27"/>
      <c r="O88" s="327" t="s">
        <v>334</v>
      </c>
      <c r="P88" s="317">
        <f>$I$14</f>
        <v>-1</v>
      </c>
      <c r="Q88" s="27"/>
      <c r="R88" s="327" t="s">
        <v>334</v>
      </c>
      <c r="S88" s="317">
        <f>$I$14</f>
        <v>-1</v>
      </c>
      <c r="T88" s="27"/>
      <c r="U88" s="327" t="s">
        <v>180</v>
      </c>
      <c r="V88" s="317">
        <f>$I$14</f>
        <v>-1</v>
      </c>
      <c r="W88" s="369"/>
    </row>
    <row r="89" spans="1:23">
      <c r="A89" s="390"/>
      <c r="B89" s="359"/>
      <c r="C89" s="352" t="s">
        <v>310</v>
      </c>
      <c r="D89" s="353"/>
      <c r="E89" s="353"/>
      <c r="F89" s="353"/>
      <c r="G89" s="27"/>
      <c r="H89" s="327" t="s">
        <v>181</v>
      </c>
      <c r="I89" s="317">
        <f>-IF(O60="Décourt-Quaresma (1996)",INDEX(CALCULO!K7:K56,MATCH(I94,CALCULO!AO7:AO56,0)),
IF(O60="Aoki-Velloso (1975)",INDEX(CALCULO!K7:K56,MATCH(I94,CALCULO!AA7:AA56,0)),
IF(O60="Teixeira (1996)",INDEX(CALCULO!K7:K56,MATCH(I94,CALCULO!BB7:BB56,0)),
IF(O60="Média",INDEX(CALCULO!K7:K56,MATCH(I94,CALCULO!BH7:BH56,0)),"Selec. Metodologia"))))</f>
        <v>-17</v>
      </c>
      <c r="J89" s="27"/>
      <c r="K89" s="348" t="s">
        <v>181</v>
      </c>
      <c r="L89" s="349"/>
      <c r="M89" s="317">
        <f>-IF(O60="Décourt-Quaresma (1996)",INDEX(CALCULO!K7:K56,MATCH(M94,CALCULO!AO7:AO56,0)),
IF(O60="Aoki-Velloso (1975)",INDEX(CALCULO!K7:K56,MATCH(M94,CALCULO!AA7:AA56,0)),
IF(O60="Teixeira (1996)",INDEX(CALCULO!K7:K56,MATCH(M94,CALCULO!BB7:BB56,0)),
IF(O60="Média",INDEX(CALCULO!K7:K56,MATCH(M94,CALCULO!BH7:BH56,0)),
"Erro "))))</f>
        <v>-12</v>
      </c>
      <c r="N89" s="27"/>
      <c r="O89" s="327" t="s">
        <v>181</v>
      </c>
      <c r="P89" s="317">
        <f>-IF(O60="Décourt-Quaresma (1996)",INDEX(CALCULO!K7:K56,MATCH(P94,CALCULO!AO7:AO56,0)),
IF(O60="Aoki-Velloso (1975)",INDEX(CALCULO!K7:K56,MATCH(P94,CALCULO!AA7:AA56,0)),
IF(O60="Teixeira (1996)",INDEX(CALCULO!K7:K56,MATCH(P94,CALCULO!BB7:BB56,0)),
IF(O60="Média",INDEX(CALCULO!K7:K56,MATCH(P94,CALCULO!BH7:BH56,0)),
"Erro "))))</f>
        <v>-8</v>
      </c>
      <c r="Q89" s="27"/>
      <c r="R89" s="327" t="s">
        <v>181</v>
      </c>
      <c r="S89" s="317">
        <f>-IF(O60="Décourt-Quaresma (1996)",INDEX(CALCULO!K7:K56,MATCH(S94,CALCULO!AO7:AO56,0)),
IF(O60="Aoki-Velloso (1975)",INDEX(CALCULO!K7:K56,MATCH(S94,CALCULO!AA7:AA56,0)),
IF(O60="Teixeira (1996)",INDEX(CALCULO!K7:K56,MATCH(S94,CALCULO!BB7:BB56,0)),
IF(O60="Média",INDEX(CALCULO!K7:K56,MATCH(S94,CALCULO!BH7:BH56,0)),
"Erro "))))</f>
        <v>-8</v>
      </c>
      <c r="T89" s="27"/>
      <c r="U89" s="327" t="s">
        <v>181</v>
      </c>
      <c r="V89" s="317">
        <f>-IF(O60="Décourt-Quaresma (1996)",INDEX(CALCULO!K7:K56,MATCH(V94,CALCULO!AO7:AO56,0)),
IF(O60="Aoki-Velloso (1975)",INDEX(CALCULO!K7:K56,MATCH(V94,CALCULO!AA7:AA56,0)),
IF(O60="Teixeira (1996)",INDEX(CALCULO!K7:K56,MATCH(V94,CALCULO!BB7:BB56,0)),
IF(O60="Média",INDEX(CALCULO!K7:K56,MATCH(V94,CALCULO!BH7:BH56,0)),
"Erro "))))</f>
        <v>-7</v>
      </c>
      <c r="W89" s="369"/>
    </row>
    <row r="90" spans="1:23">
      <c r="A90" s="390"/>
      <c r="B90" s="359"/>
      <c r="C90" s="362" t="s">
        <v>193</v>
      </c>
      <c r="D90" s="363"/>
      <c r="E90" s="362" t="s">
        <v>307</v>
      </c>
      <c r="F90" s="363"/>
      <c r="G90" s="182"/>
      <c r="H90" s="321" t="s">
        <v>194</v>
      </c>
      <c r="I90" s="140">
        <f>I85/(PI()*(I87/200)^2)/1000</f>
        <v>9.4174522539583023</v>
      </c>
      <c r="J90" s="27"/>
      <c r="K90" s="350" t="s">
        <v>194</v>
      </c>
      <c r="L90" s="351"/>
      <c r="M90" s="140">
        <f>M85/(PI()*(M87/200)^2)/1000</f>
        <v>5.0226412021110951</v>
      </c>
      <c r="N90" s="27"/>
      <c r="O90" s="321" t="s">
        <v>194</v>
      </c>
      <c r="P90" s="140">
        <f>P85/(PI()*(P87/200)^2)/1000</f>
        <v>3.5876008586507813</v>
      </c>
      <c r="Q90" s="27"/>
      <c r="R90" s="321" t="s">
        <v>194</v>
      </c>
      <c r="S90" s="140">
        <f>S85/(PI()*(S87/200)^2)/1000</f>
        <v>2.8976776166025546</v>
      </c>
      <c r="T90" s="27"/>
      <c r="U90" s="321" t="s">
        <v>194</v>
      </c>
      <c r="V90" s="140">
        <f>V85/(PI()*(V87/200)^2)/1000</f>
        <v>2.3543630634895756</v>
      </c>
      <c r="W90" s="369"/>
    </row>
    <row r="91" spans="1:23">
      <c r="A91" s="390"/>
      <c r="B91" s="359"/>
      <c r="C91" s="370">
        <f t="shared" ref="C91:C104" si="1">F115</f>
        <v>26</v>
      </c>
      <c r="D91" s="371"/>
      <c r="E91" s="364">
        <f>IFERROR(INDEX(Compatibilidade!$I$24:$T$37, MATCH(C91, INDEX(Compatibilidade!$I$24:$T$37,, MATCH($F$67, Compatibilidade!$I$22:$T$22, 0)), 0), MATCH($F$67, Compatibilidade!$I$22:$T$22, 0)+1),"")</f>
        <v>80</v>
      </c>
      <c r="F91" s="365"/>
      <c r="H91" s="322" t="s">
        <v>226</v>
      </c>
      <c r="I91" s="318">
        <f>IF(ISNUMBER(I89),I80*(I88-I89)/(CALCULO!$C$12*$F$79*10^3),"")</f>
        <v>5.381401287976173</v>
      </c>
      <c r="J91" s="27"/>
      <c r="K91" s="350" t="s">
        <v>226</v>
      </c>
      <c r="L91" s="351"/>
      <c r="M91" s="174">
        <f>IF(ISNUMBER(M89),10*$I$80*(M88-M89)/(ModElast(-M89, 2, RECALQUE!S4)*RECALQUE!S4),"")</f>
        <v>1.8399636197636957</v>
      </c>
      <c r="N91" s="27"/>
      <c r="O91" s="321" t="s">
        <v>226</v>
      </c>
      <c r="P91" s="174">
        <f>IF(ISNUMBER(P89),10*$I$80*(P88-P89)/(ModElast(-P89, 3, RECALQUE!AB4)*RECALQUE!AB4),"")</f>
        <v>0.78237223243940957</v>
      </c>
      <c r="Q91" s="27"/>
      <c r="R91" s="321" t="s">
        <v>226</v>
      </c>
      <c r="S91" s="174">
        <f>IF(ISNUMBER(S89),10*$I$80*(S88-S89)/(ModElast(-S89, 4, RECALQUE!AK4)*RECALQUE!AK4),"")</f>
        <v>0.58478255148035452</v>
      </c>
      <c r="T91" s="27"/>
      <c r="U91" s="321" t="s">
        <v>226</v>
      </c>
      <c r="V91" s="174">
        <f>IF(ISNUMBER(V89),10*$I$80*(V88-V89)/(ModElast(-V89, 4, RECALQUE!AT4)*RECALQUE!AT4),"")</f>
        <v>0.49994063409006084</v>
      </c>
      <c r="W91" s="369"/>
    </row>
    <row r="92" spans="1:23">
      <c r="A92" s="390"/>
      <c r="B92" s="359"/>
      <c r="C92" s="344">
        <f t="shared" si="1"/>
        <v>33</v>
      </c>
      <c r="D92" s="345"/>
      <c r="E92" s="342">
        <f>IFERROR(INDEX(Compatibilidade!$I$24:$T$37, MATCH(C92, INDEX(Compatibilidade!$I$24:$T$37,, MATCH($F$67, Compatibilidade!$I$22:$T$22, 0)), 0), MATCH($F$67, Compatibilidade!$I$22:$T$22, 0)+1),"")</f>
        <v>80</v>
      </c>
      <c r="F92" s="343"/>
      <c r="G92" s="27"/>
      <c r="H92" s="321" t="s">
        <v>203</v>
      </c>
      <c r="I92" s="318">
        <f t="array" ref="I92">IF(ISNUMBER(I89),SUM(IF(ISNUMBER(RECALQUE!Q4:Q52),RECALQUE!Q4:Q52,0)),"")</f>
        <v>0.88692910723080354</v>
      </c>
      <c r="J92" s="27"/>
      <c r="K92" s="350" t="s">
        <v>203</v>
      </c>
      <c r="L92" s="351"/>
      <c r="M92" s="318">
        <f t="array" ref="M92">IF(ISNUMBER(M89),SUM(IF(ISNUMBER(RECALQUE!Z4:Z52),RECALQUE!Z4:Z52,0)),"")</f>
        <v>1.6096657660548577</v>
      </c>
      <c r="N92" s="27"/>
      <c r="O92" s="321" t="s">
        <v>203</v>
      </c>
      <c r="P92" s="318">
        <f t="array" ref="P92">IF(ISNUMBER(P89),SUM(IF(ISNUMBER(RECALQUE!AI4:AI52),RECALQUE!AI4:AI52,0)),"")</f>
        <v>6.7287542296980742</v>
      </c>
      <c r="Q92" s="27"/>
      <c r="R92" s="321" t="s">
        <v>203</v>
      </c>
      <c r="S92" s="318">
        <f t="array" ref="S92">IF(ISNUMBER(S89),SUM(IF(ISNUMBER(RECALQUE!AR4:AR52),RECALQUE!AR4:AR52,0)),"")</f>
        <v>3.0320290222308506</v>
      </c>
      <c r="T92" s="27"/>
      <c r="U92" s="321" t="s">
        <v>203</v>
      </c>
      <c r="V92" s="318">
        <f t="array" ref="V92">IF(ISNUMBER(V89),SUM(IF(ISNUMBER(RECALQUE!BA4:BA52),RECALQUE!BA4:BA52,0)),"")</f>
        <v>3.02933602086192</v>
      </c>
      <c r="W92" s="369"/>
    </row>
    <row r="93" spans="1:23">
      <c r="A93" s="390"/>
      <c r="B93" s="359"/>
      <c r="C93" s="344">
        <f t="shared" si="1"/>
        <v>38</v>
      </c>
      <c r="D93" s="345"/>
      <c r="E93" s="342">
        <f>IFERROR(INDEX(Compatibilidade!$I$24:$T$37, MATCH(C93, INDEX(Compatibilidade!$I$24:$T$37,, MATCH($F$67, Compatibilidade!$I$22:$T$22, 0)), 0), MATCH($F$67, Compatibilidade!$I$22:$T$22, 0)+1),"")</f>
        <v>100</v>
      </c>
      <c r="F93" s="343"/>
      <c r="G93" s="27"/>
      <c r="H93" s="321"/>
      <c r="I93" s="89"/>
      <c r="J93" s="27"/>
      <c r="K93" s="321"/>
      <c r="L93" s="322"/>
      <c r="M93" s="69"/>
      <c r="N93" s="27"/>
      <c r="O93" s="321"/>
      <c r="P93" s="328"/>
      <c r="Q93" s="27"/>
      <c r="R93" s="321"/>
      <c r="S93" s="328"/>
      <c r="T93" s="27"/>
      <c r="U93" s="321"/>
      <c r="V93" s="328"/>
      <c r="W93" s="369"/>
    </row>
    <row r="94" spans="1:23" ht="20.25">
      <c r="A94" s="390"/>
      <c r="B94" s="359"/>
      <c r="C94" s="344">
        <f t="shared" si="1"/>
        <v>42</v>
      </c>
      <c r="D94" s="345"/>
      <c r="E94" s="342">
        <f>IFERROR(INDEX(Compatibilidade!$I$24:$T$37, MATCH(C94, INDEX(Compatibilidade!$I$24:$T$37,, MATCH($F$67, Compatibilidade!$I$22:$T$22, 0)), 0), MATCH($F$67, Compatibilidade!$I$22:$T$22, 0)+1),"")</f>
        <v>100</v>
      </c>
      <c r="F94" s="343"/>
      <c r="G94" s="27"/>
      <c r="H94" s="326" t="s">
        <v>182</v>
      </c>
      <c r="I94" s="82" cm="1">
        <f t="array" ref="I94">Radm(I85)</f>
        <v>543.03429801662912</v>
      </c>
      <c r="J94" s="27"/>
      <c r="K94" s="346" t="s">
        <v>182</v>
      </c>
      <c r="L94" s="347"/>
      <c r="M94" s="82" cm="1">
        <f t="array" ref="M94">Radm(M85)</f>
        <v>285.09300645873031</v>
      </c>
      <c r="N94" s="27"/>
      <c r="O94" s="326" t="s">
        <v>182</v>
      </c>
      <c r="P94" s="82" cm="1">
        <f t="array" ref="P94">Radm(P85)</f>
        <v>192.00141251302244</v>
      </c>
      <c r="Q94" s="27"/>
      <c r="R94" s="326" t="s">
        <v>182</v>
      </c>
      <c r="S94" s="82" cm="1">
        <f t="array" ref="S94">Radm(S85)</f>
        <v>192.00141251302244</v>
      </c>
      <c r="T94" s="27"/>
      <c r="U94" s="326" t="s">
        <v>182</v>
      </c>
      <c r="V94" s="82" cm="1">
        <f t="array" ref="V94">Radm(V85)</f>
        <v>146.42531964376963</v>
      </c>
      <c r="W94" s="369"/>
    </row>
    <row r="95" spans="1:23">
      <c r="A95" s="390"/>
      <c r="B95" s="359"/>
      <c r="C95" s="344">
        <f t="shared" si="1"/>
        <v>50</v>
      </c>
      <c r="D95" s="345"/>
      <c r="E95" s="342">
        <f>IFERROR(INDEX(Compatibilidade!$I$24:$T$37, MATCH(C95, INDEX(Compatibilidade!$I$24:$T$37,, MATCH($F$67, Compatibilidade!$I$22:$T$22, 0)), 0), MATCH($F$67, Compatibilidade!$I$22:$T$22, 0)+1),"")</f>
        <v>150</v>
      </c>
      <c r="F95" s="343"/>
      <c r="G95" s="27"/>
      <c r="H95" s="321"/>
      <c r="I95" s="82"/>
      <c r="J95" s="27"/>
      <c r="K95" s="321"/>
      <c r="L95" s="322"/>
      <c r="M95" s="174"/>
      <c r="N95" s="27"/>
      <c r="O95" s="327"/>
      <c r="P95" s="174"/>
      <c r="Q95" s="27"/>
      <c r="R95" s="327"/>
      <c r="S95" s="174"/>
      <c r="T95" s="27"/>
      <c r="U95" s="327"/>
      <c r="V95" s="174"/>
      <c r="W95" s="369"/>
    </row>
    <row r="96" spans="1:23">
      <c r="A96" s="390"/>
      <c r="B96" s="359"/>
      <c r="C96" s="344">
        <f t="shared" si="1"/>
        <v>60</v>
      </c>
      <c r="D96" s="345"/>
      <c r="E96" s="342">
        <f>IFERROR(INDEX(Compatibilidade!$I$24:$T$37, MATCH(C96, INDEX(Compatibilidade!$I$24:$T$37,, MATCH($F$67, Compatibilidade!$I$22:$T$22, 0)), 0), MATCH($F$67, Compatibilidade!$I$22:$T$22, 0)+1),"")</f>
        <v>150</v>
      </c>
      <c r="F96" s="343"/>
      <c r="G96" s="27"/>
      <c r="H96" s="321" t="s">
        <v>185</v>
      </c>
      <c r="I96" s="86">
        <v>0</v>
      </c>
      <c r="J96" s="27"/>
      <c r="K96" s="350" t="s">
        <v>185</v>
      </c>
      <c r="L96" s="351"/>
      <c r="M96" s="86">
        <f>3*$M$87</f>
        <v>78</v>
      </c>
      <c r="N96" s="27"/>
      <c r="O96" s="321" t="s">
        <v>185</v>
      </c>
      <c r="P96" s="86">
        <f>3*$P$87</f>
        <v>78</v>
      </c>
      <c r="Q96" s="27"/>
      <c r="R96" s="321" t="s">
        <v>185</v>
      </c>
      <c r="S96" s="86">
        <f>3*S$87</f>
        <v>78</v>
      </c>
      <c r="T96" s="27"/>
      <c r="U96" s="321" t="s">
        <v>185</v>
      </c>
      <c r="V96" s="86">
        <f>3*V$87</f>
        <v>78</v>
      </c>
      <c r="W96" s="369"/>
    </row>
    <row r="97" spans="1:23">
      <c r="A97" s="390"/>
      <c r="B97" s="359"/>
      <c r="C97" s="344" t="str">
        <f t="shared" si="1"/>
        <v/>
      </c>
      <c r="D97" s="345"/>
      <c r="E97" s="342" t="str">
        <f>IFERROR(INDEX(Compatibilidade!$I$24:$T$37, MATCH(C97, INDEX(Compatibilidade!$I$24:$T$37,, MATCH($F$67, Compatibilidade!$I$22:$T$22, 0)), 0), MATCH($F$67, Compatibilidade!$I$22:$T$22, 0)+1),"")</f>
        <v/>
      </c>
      <c r="F97" s="343"/>
      <c r="G97" s="27"/>
      <c r="H97" s="321" t="s">
        <v>184</v>
      </c>
      <c r="I97" s="86">
        <f>15+I87/2</f>
        <v>28</v>
      </c>
      <c r="J97" s="27"/>
      <c r="K97" s="350" t="s">
        <v>184</v>
      </c>
      <c r="L97" s="351"/>
      <c r="M97" s="86">
        <f>15+$M$87/2</f>
        <v>28</v>
      </c>
      <c r="N97" s="27"/>
      <c r="O97" s="321" t="s">
        <v>184</v>
      </c>
      <c r="P97" s="86">
        <f>15+P87/2</f>
        <v>28</v>
      </c>
      <c r="Q97" s="27"/>
      <c r="R97" s="321" t="s">
        <v>184</v>
      </c>
      <c r="S97" s="86">
        <f>15+S87/2</f>
        <v>28</v>
      </c>
      <c r="T97" s="27"/>
      <c r="U97" s="321" t="s">
        <v>184</v>
      </c>
      <c r="V97" s="86">
        <f>15+V87/2</f>
        <v>28</v>
      </c>
      <c r="W97" s="369"/>
    </row>
    <row r="98" spans="1:23">
      <c r="A98" s="390"/>
      <c r="B98" s="359"/>
      <c r="C98" s="344" t="str">
        <f t="shared" si="1"/>
        <v/>
      </c>
      <c r="D98" s="345"/>
      <c r="E98" s="342" t="str">
        <f>IFERROR(INDEX(Compatibilidade!$I$24:$T$37, MATCH(C98, INDEX(Compatibilidade!$I$24:$T$37,, MATCH($F$67, Compatibilidade!$I$22:$T$22, 0)), 0), MATCH($F$67, Compatibilidade!$I$22:$T$22, 0)+1),"")</f>
        <v/>
      </c>
      <c r="F98" s="343"/>
      <c r="G98" s="27"/>
      <c r="H98" s="321" t="s">
        <v>183</v>
      </c>
      <c r="I98" s="86">
        <f>2*I97</f>
        <v>56</v>
      </c>
      <c r="J98" s="27"/>
      <c r="K98" s="350" t="s">
        <v>183</v>
      </c>
      <c r="L98" s="351"/>
      <c r="M98" s="86">
        <f>M96+2*M97</f>
        <v>134</v>
      </c>
      <c r="N98" s="27"/>
      <c r="O98" s="321" t="s">
        <v>183</v>
      </c>
      <c r="P98" s="86">
        <f>P96+2*P97</f>
        <v>134</v>
      </c>
      <c r="Q98" s="27"/>
      <c r="R98" s="321" t="s">
        <v>183</v>
      </c>
      <c r="S98" s="86">
        <f>S96+2*S97</f>
        <v>134</v>
      </c>
      <c r="T98" s="27"/>
      <c r="U98" s="321" t="s">
        <v>183</v>
      </c>
      <c r="V98" s="86">
        <f>SQRT(2*V96^2)+V97</f>
        <v>138.3086578651014</v>
      </c>
      <c r="W98" s="369"/>
    </row>
    <row r="99" spans="1:23">
      <c r="A99" s="390"/>
      <c r="B99" s="359"/>
      <c r="C99" s="344" t="str">
        <f t="shared" si="1"/>
        <v/>
      </c>
      <c r="D99" s="345"/>
      <c r="E99" s="342" t="str">
        <f>IFERROR(INDEX(Compatibilidade!$I$24:$T$37, MATCH(C99, INDEX(Compatibilidade!$I$24:$T$37,, MATCH($F$67, Compatibilidade!$I$22:$T$22, 0)), 0), MATCH($F$67, Compatibilidade!$I$22:$T$22, 0)+1),"")</f>
        <v/>
      </c>
      <c r="F99" s="343"/>
      <c r="G99" s="27"/>
      <c r="H99" s="321" t="s">
        <v>186</v>
      </c>
      <c r="I99" s="86">
        <f>2*I97</f>
        <v>56</v>
      </c>
      <c r="J99" s="27"/>
      <c r="K99" s="350" t="s">
        <v>186</v>
      </c>
      <c r="L99" s="351"/>
      <c r="M99" s="86">
        <f>2*M97</f>
        <v>56</v>
      </c>
      <c r="N99" s="27"/>
      <c r="O99" s="321" t="s">
        <v>186</v>
      </c>
      <c r="P99" s="86">
        <f>P96*COS(RADIANS(30))+2*P97</f>
        <v>123.54998149518622</v>
      </c>
      <c r="Q99" s="27"/>
      <c r="R99" s="321" t="s">
        <v>186</v>
      </c>
      <c r="S99" s="86">
        <f>S96+2*S97</f>
        <v>134</v>
      </c>
      <c r="T99" s="27"/>
      <c r="U99" s="321" t="s">
        <v>186</v>
      </c>
      <c r="V99" s="86">
        <f>V98</f>
        <v>138.3086578651014</v>
      </c>
      <c r="W99" s="369"/>
    </row>
    <row r="100" spans="1:23" s="28" customFormat="1">
      <c r="A100" s="390"/>
      <c r="B100" s="359"/>
      <c r="C100" s="344" t="str">
        <f t="shared" si="1"/>
        <v/>
      </c>
      <c r="D100" s="345"/>
      <c r="E100" s="342" t="str">
        <f>IFERROR(INDEX(Compatibilidade!$I$24:$T$37, MATCH(C100, INDEX(Compatibilidade!$I$24:$T$37,, MATCH($F$67, Compatibilidade!$I$22:$T$22, 0)), 0), MATCH($F$67, Compatibilidade!$I$22:$T$22, 0)+1),"")</f>
        <v/>
      </c>
      <c r="F100" s="343"/>
      <c r="G100" s="329"/>
      <c r="H100" s="157"/>
      <c r="I100" s="103"/>
      <c r="J100" s="27"/>
      <c r="K100" s="157"/>
      <c r="L100" s="152"/>
      <c r="M100" s="103"/>
      <c r="N100" s="153"/>
      <c r="O100" s="157"/>
      <c r="P100" s="103"/>
      <c r="Q100" s="153"/>
      <c r="R100" s="157"/>
      <c r="S100" s="103"/>
      <c r="T100" s="153"/>
      <c r="U100" s="157"/>
      <c r="V100" s="103"/>
      <c r="W100" s="369"/>
    </row>
    <row r="101" spans="1:23" s="28" customFormat="1">
      <c r="A101" s="390"/>
      <c r="B101" s="359"/>
      <c r="C101" s="344" t="str">
        <f t="shared" si="1"/>
        <v/>
      </c>
      <c r="D101" s="345"/>
      <c r="E101" s="342" t="str">
        <f>IFERROR(INDEX(Compatibilidade!$I$24:$T$37, MATCH(C101, INDEX(Compatibilidade!$I$24:$T$37,, MATCH($F$67, Compatibilidade!$I$22:$T$22, 0)), 0), MATCH($F$67, Compatibilidade!$I$22:$T$22, 0)+1),"")</f>
        <v/>
      </c>
      <c r="F101" s="343"/>
      <c r="G101" s="329"/>
      <c r="H101" s="157"/>
      <c r="I101" s="103"/>
      <c r="J101" s="27"/>
      <c r="K101" s="157"/>
      <c r="L101" s="152"/>
      <c r="M101" s="103"/>
      <c r="N101" s="153"/>
      <c r="O101" s="157"/>
      <c r="P101" s="103"/>
      <c r="Q101" s="153"/>
      <c r="R101" s="157"/>
      <c r="S101" s="103"/>
      <c r="T101" s="153"/>
      <c r="U101" s="157"/>
      <c r="V101" s="103"/>
      <c r="W101" s="369"/>
    </row>
    <row r="102" spans="1:23" s="28" customFormat="1">
      <c r="A102" s="390"/>
      <c r="B102" s="359"/>
      <c r="C102" s="344" t="str">
        <f t="shared" si="1"/>
        <v/>
      </c>
      <c r="D102" s="345"/>
      <c r="E102" s="342" t="str">
        <f>IFERROR(INDEX(Compatibilidade!$I$24:$T$37, MATCH(C102, INDEX(Compatibilidade!$I$24:$T$37,, MATCH($F$67, Compatibilidade!$I$22:$T$22, 0)), 0), MATCH($F$67, Compatibilidade!$I$22:$T$22, 0)+1),"")</f>
        <v/>
      </c>
      <c r="F102" s="343"/>
      <c r="G102" s="329"/>
      <c r="H102" s="157"/>
      <c r="I102" s="103"/>
      <c r="J102" s="329"/>
      <c r="K102" s="157"/>
      <c r="L102" s="152"/>
      <c r="M102" s="103"/>
      <c r="N102" s="104"/>
      <c r="O102" s="157"/>
      <c r="P102" s="103"/>
      <c r="Q102" s="104"/>
      <c r="R102" s="157"/>
      <c r="S102" s="103"/>
      <c r="T102" s="153"/>
      <c r="U102" s="157"/>
      <c r="V102" s="103"/>
      <c r="W102" s="369"/>
    </row>
    <row r="103" spans="1:23" s="28" customFormat="1">
      <c r="A103" s="390"/>
      <c r="B103" s="359"/>
      <c r="C103" s="344" t="str">
        <f t="shared" si="1"/>
        <v/>
      </c>
      <c r="D103" s="345"/>
      <c r="E103" s="342" t="str">
        <f>IFERROR(INDEX(Compatibilidade!$I$24:$T$37, MATCH(C103, INDEX(Compatibilidade!$I$24:$T$37,, MATCH($F$67, Compatibilidade!$I$22:$T$22, 0)), 0), MATCH($F$67, Compatibilidade!$I$22:$T$22, 0)+1),"")</f>
        <v/>
      </c>
      <c r="F103" s="343"/>
      <c r="G103" s="329"/>
      <c r="H103" s="157"/>
      <c r="I103" s="103"/>
      <c r="J103" s="329"/>
      <c r="K103" s="157"/>
      <c r="L103" s="152"/>
      <c r="M103" s="103"/>
      <c r="N103" s="104"/>
      <c r="O103" s="157"/>
      <c r="P103" s="103"/>
      <c r="Q103" s="104"/>
      <c r="R103" s="157"/>
      <c r="S103" s="103"/>
      <c r="T103" s="153"/>
      <c r="U103" s="157"/>
      <c r="V103" s="103"/>
      <c r="W103" s="369"/>
    </row>
    <row r="104" spans="1:23" s="28" customFormat="1">
      <c r="A104" s="390"/>
      <c r="B104" s="359"/>
      <c r="C104" s="344" t="str">
        <f t="shared" si="1"/>
        <v/>
      </c>
      <c r="D104" s="345"/>
      <c r="E104" s="342" t="str">
        <f>IFERROR(INDEX(Compatibilidade!$I$24:$T$37, MATCH(C104, INDEX(Compatibilidade!$I$24:$T$37,, MATCH($F$67, Compatibilidade!$I$22:$T$22, 0)), 0), MATCH($F$67, Compatibilidade!$I$22:$T$22, 0)+1),"")</f>
        <v/>
      </c>
      <c r="F104" s="343"/>
      <c r="G104" s="329"/>
      <c r="H104" s="157"/>
      <c r="I104" s="103"/>
      <c r="J104" s="329"/>
      <c r="K104" s="157"/>
      <c r="L104" s="152"/>
      <c r="M104" s="103"/>
      <c r="N104" s="104"/>
      <c r="O104" s="157"/>
      <c r="P104" s="103"/>
      <c r="Q104" s="104"/>
      <c r="R104" s="157"/>
      <c r="S104" s="103"/>
      <c r="T104" s="104"/>
      <c r="U104" s="157"/>
      <c r="V104" s="103"/>
      <c r="W104" s="369"/>
    </row>
    <row r="105" spans="1:23" s="28" customFormat="1">
      <c r="A105" s="390"/>
      <c r="B105" s="359"/>
      <c r="G105" s="329"/>
      <c r="H105" s="157"/>
      <c r="I105" s="103"/>
      <c r="J105" s="329"/>
      <c r="K105" s="157"/>
      <c r="L105" s="152"/>
      <c r="M105" s="103"/>
      <c r="N105" s="104"/>
      <c r="O105" s="157"/>
      <c r="P105" s="103"/>
      <c r="Q105" s="104"/>
      <c r="R105" s="157"/>
      <c r="S105" s="103"/>
      <c r="T105" s="104"/>
      <c r="U105" s="157"/>
      <c r="V105" s="103"/>
      <c r="W105" s="369"/>
    </row>
    <row r="106" spans="1:23" s="28" customFormat="1">
      <c r="A106" s="390"/>
      <c r="B106" s="359"/>
      <c r="G106" s="329"/>
      <c r="H106" s="157"/>
      <c r="I106" s="103"/>
      <c r="J106" s="329"/>
      <c r="K106" s="157"/>
      <c r="L106" s="152"/>
      <c r="M106" s="103"/>
      <c r="N106" s="104"/>
      <c r="O106" s="157"/>
      <c r="P106" s="103"/>
      <c r="Q106" s="104"/>
      <c r="R106" s="157"/>
      <c r="S106" s="103"/>
      <c r="T106" s="104"/>
      <c r="U106" s="157"/>
      <c r="V106" s="103"/>
      <c r="W106" s="369"/>
    </row>
    <row r="107" spans="1:23" s="28" customFormat="1">
      <c r="A107" s="390"/>
      <c r="B107" s="359"/>
      <c r="G107" s="329"/>
      <c r="H107" s="157"/>
      <c r="I107" s="103"/>
      <c r="J107" s="329"/>
      <c r="K107" s="157"/>
      <c r="L107" s="152"/>
      <c r="M107" s="103"/>
      <c r="N107" s="104"/>
      <c r="O107" s="157"/>
      <c r="P107" s="103"/>
      <c r="Q107" s="104"/>
      <c r="R107" s="157"/>
      <c r="S107" s="103"/>
      <c r="T107" s="104"/>
      <c r="U107" s="157"/>
      <c r="V107" s="103"/>
      <c r="W107" s="369"/>
    </row>
    <row r="108" spans="1:23" s="28" customFormat="1">
      <c r="A108" s="390"/>
      <c r="B108" s="359"/>
      <c r="G108" s="329"/>
      <c r="H108" s="157"/>
      <c r="I108" s="103"/>
      <c r="J108" s="329"/>
      <c r="K108" s="157"/>
      <c r="L108" s="152"/>
      <c r="M108" s="103"/>
      <c r="N108" s="104"/>
      <c r="O108" s="157"/>
      <c r="P108" s="103"/>
      <c r="Q108" s="104"/>
      <c r="R108" s="157"/>
      <c r="S108" s="103"/>
      <c r="T108" s="104"/>
      <c r="U108" s="157"/>
      <c r="V108" s="103"/>
      <c r="W108" s="369"/>
    </row>
    <row r="109" spans="1:23" s="28" customFormat="1">
      <c r="A109" s="390"/>
      <c r="B109" s="359"/>
      <c r="G109" s="329"/>
      <c r="H109" s="157"/>
      <c r="I109" s="103"/>
      <c r="J109" s="329"/>
      <c r="K109" s="157"/>
      <c r="L109" s="152"/>
      <c r="M109" s="103"/>
      <c r="N109" s="104"/>
      <c r="O109" s="157"/>
      <c r="P109" s="103"/>
      <c r="Q109" s="104"/>
      <c r="R109" s="157"/>
      <c r="S109" s="103"/>
      <c r="T109" s="104"/>
      <c r="U109" s="157"/>
      <c r="V109" s="103"/>
      <c r="W109" s="369"/>
    </row>
    <row r="110" spans="1:23" s="28" customFormat="1">
      <c r="A110" s="390"/>
      <c r="B110" s="359"/>
      <c r="G110" s="329"/>
      <c r="H110" s="157"/>
      <c r="I110" s="103"/>
      <c r="J110" s="329"/>
      <c r="K110" s="157"/>
      <c r="L110" s="152"/>
      <c r="M110" s="103"/>
      <c r="N110" s="104"/>
      <c r="O110" s="157"/>
      <c r="P110" s="103"/>
      <c r="Q110" s="104"/>
      <c r="R110" s="157"/>
      <c r="S110" s="103"/>
      <c r="T110" s="104"/>
      <c r="U110" s="157"/>
      <c r="V110" s="103"/>
      <c r="W110" s="369"/>
    </row>
    <row r="111" spans="1:23" s="28" customFormat="1">
      <c r="A111" s="390"/>
      <c r="B111" s="359"/>
      <c r="D111" s="27"/>
      <c r="E111" s="27"/>
      <c r="G111" s="329"/>
      <c r="H111" s="157"/>
      <c r="I111" s="103"/>
      <c r="J111" s="329"/>
      <c r="K111" s="157"/>
      <c r="L111" s="152"/>
      <c r="M111" s="103"/>
      <c r="N111" s="104"/>
      <c r="O111" s="157"/>
      <c r="P111" s="103"/>
      <c r="Q111" s="104"/>
      <c r="R111" s="157"/>
      <c r="S111" s="103"/>
      <c r="T111" s="104"/>
      <c r="U111" s="157"/>
      <c r="V111" s="103"/>
      <c r="W111" s="369"/>
    </row>
    <row r="112" spans="1:23" s="28" customFormat="1">
      <c r="A112" s="390"/>
      <c r="B112" s="359"/>
      <c r="C112" s="27"/>
      <c r="G112" s="329"/>
      <c r="H112" s="157"/>
      <c r="I112" s="103"/>
      <c r="J112" s="329"/>
      <c r="K112" s="157"/>
      <c r="L112" s="152"/>
      <c r="M112" s="103"/>
      <c r="N112" s="104"/>
      <c r="O112" s="157"/>
      <c r="P112" s="103"/>
      <c r="Q112" s="104"/>
      <c r="R112" s="157"/>
      <c r="S112" s="103"/>
      <c r="T112" s="104"/>
      <c r="U112" s="157"/>
      <c r="V112" s="103"/>
      <c r="W112" s="369"/>
    </row>
    <row r="113" spans="1:23" s="28" customFormat="1">
      <c r="A113" s="390"/>
      <c r="B113" s="359"/>
      <c r="D113" s="90"/>
      <c r="E113" s="90"/>
      <c r="G113" s="329"/>
      <c r="H113" s="157"/>
      <c r="I113" s="103"/>
      <c r="J113" s="329"/>
      <c r="K113" s="157"/>
      <c r="L113" s="152"/>
      <c r="M113" s="103"/>
      <c r="N113" s="104"/>
      <c r="O113" s="157"/>
      <c r="P113" s="103"/>
      <c r="Q113" s="104"/>
      <c r="R113" s="157"/>
      <c r="S113" s="103"/>
      <c r="T113" s="104"/>
      <c r="U113" s="157"/>
      <c r="V113" s="103"/>
      <c r="W113" s="369"/>
    </row>
    <row r="114" spans="1:23" s="28" customFormat="1">
      <c r="A114" s="390"/>
      <c r="B114" s="359"/>
      <c r="D114" s="90"/>
      <c r="E114" s="90"/>
      <c r="F114" s="92" t="s">
        <v>193</v>
      </c>
      <c r="G114" s="329"/>
      <c r="H114" s="319" t="s">
        <v>183</v>
      </c>
      <c r="I114" s="93" t="s">
        <v>272</v>
      </c>
      <c r="J114" s="329"/>
      <c r="K114" s="362" t="s">
        <v>183</v>
      </c>
      <c r="L114" s="389"/>
      <c r="M114" s="93" t="s">
        <v>272</v>
      </c>
      <c r="N114" s="329"/>
      <c r="O114" s="319" t="s">
        <v>183</v>
      </c>
      <c r="P114" s="93" t="s">
        <v>272</v>
      </c>
      <c r="Q114" s="329"/>
      <c r="R114" s="319" t="s">
        <v>183</v>
      </c>
      <c r="S114" s="93" t="s">
        <v>272</v>
      </c>
      <c r="T114" s="329"/>
      <c r="U114" s="319" t="s">
        <v>183</v>
      </c>
      <c r="V114" s="93" t="s">
        <v>272</v>
      </c>
      <c r="W114" s="369"/>
    </row>
    <row r="115" spans="1:23" s="28" customFormat="1">
      <c r="A115" s="390"/>
      <c r="B115" s="359"/>
      <c r="D115" s="90"/>
      <c r="E115" s="90"/>
      <c r="F115" s="91">
        <f>IF(CALCULO!DE11=0,"",CALCULO!DE11)</f>
        <v>26</v>
      </c>
      <c r="G115" s="329"/>
      <c r="H115" s="94">
        <v>16</v>
      </c>
      <c r="I115" s="95">
        <f t="shared" ref="I115:I128" si="2">IF(H115="","",H115*PI()*($F115/200)^2)</f>
        <v>0.8494866535306802</v>
      </c>
      <c r="J115" s="27"/>
      <c r="K115" s="387">
        <v>11</v>
      </c>
      <c r="L115" s="388"/>
      <c r="M115" s="95">
        <f t="shared" ref="M115:M128" si="3">IF(K115="","",K115*PI()*($F115/200)^2)</f>
        <v>0.58402207430234254</v>
      </c>
      <c r="N115" s="329"/>
      <c r="O115" s="94">
        <v>7</v>
      </c>
      <c r="P115" s="95">
        <f t="shared" ref="P115:P128" si="4">IF(O115="","",O115*PI()*($F115/200)^2)</f>
        <v>0.37165041091967255</v>
      </c>
      <c r="Q115" s="329"/>
      <c r="R115" s="94">
        <v>7</v>
      </c>
      <c r="S115" s="95">
        <f t="shared" ref="S115:S128" si="5">IF(R115="","",R115*PI()*($F115/200)^2)</f>
        <v>0.37165041091967255</v>
      </c>
      <c r="T115" s="329"/>
      <c r="U115" s="94">
        <v>6</v>
      </c>
      <c r="V115" s="95">
        <f t="shared" ref="V115:V128" si="6">IF(U115="","",U115*PI()*($F115/200)^2)</f>
        <v>0.31855749507400505</v>
      </c>
      <c r="W115" s="369"/>
    </row>
    <row r="116" spans="1:23" s="28" customFormat="1">
      <c r="A116" s="390"/>
      <c r="B116" s="359"/>
      <c r="D116" s="90"/>
      <c r="E116" s="90"/>
      <c r="F116" s="91">
        <f>IF(CALCULO!DE12=0,"",CALCULO!DE12)</f>
        <v>33</v>
      </c>
      <c r="G116" s="329"/>
      <c r="H116" s="94">
        <v>12</v>
      </c>
      <c r="I116" s="95">
        <f t="shared" si="2"/>
        <v>1.0263583199277855</v>
      </c>
      <c r="J116" s="329"/>
      <c r="K116" s="381">
        <v>9</v>
      </c>
      <c r="L116" s="382"/>
      <c r="M116" s="95">
        <f t="shared" si="3"/>
        <v>0.76976873994583916</v>
      </c>
      <c r="N116" s="329"/>
      <c r="O116" s="94">
        <v>6</v>
      </c>
      <c r="P116" s="95">
        <f t="shared" si="4"/>
        <v>0.51317915996389274</v>
      </c>
      <c r="Q116" s="329"/>
      <c r="R116" s="94">
        <v>6</v>
      </c>
      <c r="S116" s="95">
        <f t="shared" si="5"/>
        <v>0.51317915996389274</v>
      </c>
      <c r="T116" s="329"/>
      <c r="U116" s="94">
        <v>5</v>
      </c>
      <c r="V116" s="95">
        <f t="shared" si="6"/>
        <v>0.42764929996991063</v>
      </c>
      <c r="W116" s="369"/>
    </row>
    <row r="117" spans="1:23" s="28" customFormat="1">
      <c r="A117" s="390"/>
      <c r="B117" s="359"/>
      <c r="D117" s="90"/>
      <c r="E117" s="90"/>
      <c r="F117" s="91">
        <f>IF(CALCULO!DE13=0,"",CALCULO!DE13)</f>
        <v>38</v>
      </c>
      <c r="G117" s="329"/>
      <c r="H117" s="94">
        <v>12</v>
      </c>
      <c r="I117" s="95">
        <f t="shared" si="2"/>
        <v>1.3609379375350983</v>
      </c>
      <c r="J117" s="329"/>
      <c r="K117" s="381">
        <v>7</v>
      </c>
      <c r="L117" s="382"/>
      <c r="M117" s="95">
        <f t="shared" si="3"/>
        <v>0.7938804635621407</v>
      </c>
      <c r="N117" s="329"/>
      <c r="O117" s="94">
        <v>6</v>
      </c>
      <c r="P117" s="95">
        <f t="shared" si="4"/>
        <v>0.68046896876754914</v>
      </c>
      <c r="Q117" s="329"/>
      <c r="R117" s="94">
        <v>5</v>
      </c>
      <c r="S117" s="95">
        <f t="shared" si="5"/>
        <v>0.56705747397295769</v>
      </c>
      <c r="T117" s="329"/>
      <c r="U117" s="94">
        <v>4</v>
      </c>
      <c r="V117" s="95">
        <f t="shared" si="6"/>
        <v>0.45364597917836613</v>
      </c>
      <c r="W117" s="369"/>
    </row>
    <row r="118" spans="1:23" s="28" customFormat="1">
      <c r="A118" s="390"/>
      <c r="B118" s="359"/>
      <c r="D118" s="90"/>
      <c r="E118" s="90"/>
      <c r="F118" s="91">
        <f>IF(CALCULO!DE14=0,"",CALCULO!DE14)</f>
        <v>42</v>
      </c>
      <c r="G118" s="329"/>
      <c r="H118" s="94">
        <v>12</v>
      </c>
      <c r="I118" s="95">
        <f t="shared" si="2"/>
        <v>1.6625308322797183</v>
      </c>
      <c r="J118" s="329"/>
      <c r="K118" s="381">
        <v>6</v>
      </c>
      <c r="L118" s="382"/>
      <c r="M118" s="95">
        <f t="shared" si="3"/>
        <v>0.83126541613985916</v>
      </c>
      <c r="N118" s="329"/>
      <c r="O118" s="94">
        <v>6</v>
      </c>
      <c r="P118" s="95">
        <f t="shared" si="4"/>
        <v>0.83126541613985916</v>
      </c>
      <c r="Q118" s="329"/>
      <c r="R118" s="94">
        <v>4</v>
      </c>
      <c r="S118" s="95">
        <f t="shared" si="5"/>
        <v>0.55417694409323948</v>
      </c>
      <c r="T118" s="329"/>
      <c r="U118" s="94">
        <v>4</v>
      </c>
      <c r="V118" s="95">
        <f t="shared" si="6"/>
        <v>0.55417694409323948</v>
      </c>
      <c r="W118" s="369"/>
    </row>
    <row r="119" spans="1:23" s="28" customFormat="1">
      <c r="A119" s="390"/>
      <c r="B119" s="359"/>
      <c r="D119" s="90"/>
      <c r="E119" s="90"/>
      <c r="F119" s="91">
        <f>IF(CALCULO!DE15=0,"",CALCULO!DE15)</f>
        <v>50</v>
      </c>
      <c r="G119" s="329"/>
      <c r="H119" s="94">
        <v>10</v>
      </c>
      <c r="I119" s="95">
        <f t="shared" si="2"/>
        <v>1.9634954084936207</v>
      </c>
      <c r="J119" s="329"/>
      <c r="K119" s="381">
        <v>6</v>
      </c>
      <c r="L119" s="382"/>
      <c r="M119" s="95">
        <f t="shared" si="3"/>
        <v>1.1780972450961724</v>
      </c>
      <c r="N119" s="329"/>
      <c r="O119" s="94">
        <v>4</v>
      </c>
      <c r="P119" s="95">
        <f t="shared" si="4"/>
        <v>0.78539816339744828</v>
      </c>
      <c r="Q119" s="329"/>
      <c r="R119" s="94">
        <v>4</v>
      </c>
      <c r="S119" s="95">
        <f t="shared" si="5"/>
        <v>0.78539816339744828</v>
      </c>
      <c r="T119" s="329"/>
      <c r="U119" s="94">
        <v>2</v>
      </c>
      <c r="V119" s="95">
        <f t="shared" si="6"/>
        <v>0.39269908169872414</v>
      </c>
      <c r="W119" s="369"/>
    </row>
    <row r="120" spans="1:23" s="28" customFormat="1">
      <c r="A120" s="390"/>
      <c r="B120" s="359"/>
      <c r="D120" s="90"/>
      <c r="E120" s="90"/>
      <c r="F120" s="91">
        <f>IF(CALCULO!DE16=0,"",CALCULO!DE16)</f>
        <v>60</v>
      </c>
      <c r="G120" s="329"/>
      <c r="H120" s="94">
        <v>9</v>
      </c>
      <c r="I120" s="95">
        <f t="shared" si="2"/>
        <v>2.5446900494077322</v>
      </c>
      <c r="J120" s="329"/>
      <c r="K120" s="381">
        <v>5</v>
      </c>
      <c r="L120" s="382"/>
      <c r="M120" s="95">
        <f t="shared" si="3"/>
        <v>1.4137166941154069</v>
      </c>
      <c r="N120" s="329"/>
      <c r="O120" s="94">
        <v>4</v>
      </c>
      <c r="P120" s="95">
        <f t="shared" si="4"/>
        <v>1.1309733552923256</v>
      </c>
      <c r="Q120" s="329"/>
      <c r="R120" s="94">
        <v>2</v>
      </c>
      <c r="S120" s="95">
        <f t="shared" si="5"/>
        <v>0.56548667764616278</v>
      </c>
      <c r="T120" s="329"/>
      <c r="U120" s="94">
        <v>1</v>
      </c>
      <c r="V120" s="95">
        <f t="shared" si="6"/>
        <v>0.28274333882308139</v>
      </c>
      <c r="W120" s="369"/>
    </row>
    <row r="121" spans="1:23" s="28" customFormat="1">
      <c r="A121" s="390"/>
      <c r="B121" s="359"/>
      <c r="D121" s="90"/>
      <c r="E121" s="90"/>
      <c r="F121" s="91" t="str">
        <f>IF(CALCULO!DE17=0,"",CALCULO!DE17)</f>
        <v/>
      </c>
      <c r="G121" s="329"/>
      <c r="H121" s="94"/>
      <c r="I121" s="95" t="str">
        <f t="shared" si="2"/>
        <v/>
      </c>
      <c r="J121" s="329"/>
      <c r="K121" s="381"/>
      <c r="L121" s="382"/>
      <c r="M121" s="95" t="str">
        <f t="shared" si="3"/>
        <v/>
      </c>
      <c r="N121" s="329"/>
      <c r="O121" s="94"/>
      <c r="P121" s="95" t="str">
        <f t="shared" si="4"/>
        <v/>
      </c>
      <c r="Q121" s="329"/>
      <c r="R121" s="94"/>
      <c r="S121" s="95" t="str">
        <f t="shared" si="5"/>
        <v/>
      </c>
      <c r="T121" s="329"/>
      <c r="U121" s="94"/>
      <c r="V121" s="95" t="str">
        <f t="shared" si="6"/>
        <v/>
      </c>
      <c r="W121" s="369"/>
    </row>
    <row r="122" spans="1:23" s="28" customFormat="1">
      <c r="A122" s="390"/>
      <c r="B122" s="359"/>
      <c r="D122" s="90"/>
      <c r="E122" s="90"/>
      <c r="F122" s="91" t="str">
        <f>IF(CALCULO!DE18=0,"",CALCULO!DE18)</f>
        <v/>
      </c>
      <c r="G122" s="27"/>
      <c r="H122" s="94"/>
      <c r="I122" s="95" t="str">
        <f t="shared" si="2"/>
        <v/>
      </c>
      <c r="J122" s="329"/>
      <c r="K122" s="381"/>
      <c r="L122" s="382"/>
      <c r="M122" s="95" t="str">
        <f t="shared" si="3"/>
        <v/>
      </c>
      <c r="N122" s="329"/>
      <c r="O122" s="94"/>
      <c r="P122" s="95" t="str">
        <f t="shared" si="4"/>
        <v/>
      </c>
      <c r="Q122" s="329"/>
      <c r="R122" s="94"/>
      <c r="S122" s="95" t="str">
        <f t="shared" si="5"/>
        <v/>
      </c>
      <c r="T122" s="329"/>
      <c r="U122" s="94"/>
      <c r="V122" s="95" t="str">
        <f t="shared" si="6"/>
        <v/>
      </c>
      <c r="W122" s="369"/>
    </row>
    <row r="123" spans="1:23" s="28" customFormat="1">
      <c r="A123" s="390"/>
      <c r="B123" s="359"/>
      <c r="D123" s="90"/>
      <c r="E123" s="90"/>
      <c r="F123" s="91" t="str">
        <f>IF(CALCULO!DE19=0,"",CALCULO!DE19)</f>
        <v/>
      </c>
      <c r="G123" s="329"/>
      <c r="H123" s="94"/>
      <c r="I123" s="95" t="str">
        <f t="shared" si="2"/>
        <v/>
      </c>
      <c r="J123" s="329"/>
      <c r="K123" s="381"/>
      <c r="L123" s="382"/>
      <c r="M123" s="95" t="str">
        <f t="shared" si="3"/>
        <v/>
      </c>
      <c r="N123" s="329"/>
      <c r="O123" s="94"/>
      <c r="P123" s="95" t="str">
        <f t="shared" si="4"/>
        <v/>
      </c>
      <c r="Q123" s="329"/>
      <c r="R123" s="94"/>
      <c r="S123" s="95" t="str">
        <f t="shared" si="5"/>
        <v/>
      </c>
      <c r="T123" s="329"/>
      <c r="U123" s="94"/>
      <c r="V123" s="95" t="str">
        <f t="shared" si="6"/>
        <v/>
      </c>
      <c r="W123" s="369"/>
    </row>
    <row r="124" spans="1:23" s="28" customFormat="1">
      <c r="A124" s="390"/>
      <c r="B124" s="359"/>
      <c r="D124" s="90"/>
      <c r="E124" s="90"/>
      <c r="F124" s="91" t="str">
        <f>IF(CALCULO!DE20=0,"",CALCULO!DE20)</f>
        <v/>
      </c>
      <c r="G124" s="329"/>
      <c r="H124" s="94"/>
      <c r="I124" s="95" t="str">
        <f t="shared" si="2"/>
        <v/>
      </c>
      <c r="J124" s="329"/>
      <c r="K124" s="381"/>
      <c r="L124" s="382"/>
      <c r="M124" s="95" t="str">
        <f t="shared" si="3"/>
        <v/>
      </c>
      <c r="N124" s="329"/>
      <c r="O124" s="94"/>
      <c r="P124" s="95" t="str">
        <f t="shared" si="4"/>
        <v/>
      </c>
      <c r="Q124" s="329"/>
      <c r="R124" s="94"/>
      <c r="S124" s="95" t="str">
        <f t="shared" si="5"/>
        <v/>
      </c>
      <c r="T124" s="329"/>
      <c r="U124" s="94"/>
      <c r="V124" s="95" t="str">
        <f t="shared" si="6"/>
        <v/>
      </c>
      <c r="W124" s="369"/>
    </row>
    <row r="125" spans="1:23" s="28" customFormat="1">
      <c r="A125" s="390"/>
      <c r="B125" s="359"/>
      <c r="D125" s="90"/>
      <c r="E125" s="90"/>
      <c r="F125" s="91" t="str">
        <f>IF(CALCULO!DE21=0,"",CALCULO!DE21)</f>
        <v/>
      </c>
      <c r="G125" s="329"/>
      <c r="H125" s="94"/>
      <c r="I125" s="95" t="str">
        <f t="shared" si="2"/>
        <v/>
      </c>
      <c r="J125" s="329"/>
      <c r="K125" s="381"/>
      <c r="L125" s="382"/>
      <c r="M125" s="95" t="str">
        <f t="shared" si="3"/>
        <v/>
      </c>
      <c r="N125" s="329"/>
      <c r="O125" s="94"/>
      <c r="P125" s="95" t="str">
        <f t="shared" si="4"/>
        <v/>
      </c>
      <c r="Q125" s="329"/>
      <c r="R125" s="94"/>
      <c r="S125" s="95" t="str">
        <f t="shared" si="5"/>
        <v/>
      </c>
      <c r="T125" s="329"/>
      <c r="U125" s="94"/>
      <c r="V125" s="95" t="str">
        <f t="shared" si="6"/>
        <v/>
      </c>
      <c r="W125" s="369"/>
    </row>
    <row r="126" spans="1:23" s="28" customFormat="1">
      <c r="A126" s="390"/>
      <c r="B126" s="359"/>
      <c r="D126" s="90"/>
      <c r="E126" s="90"/>
      <c r="F126" s="91" t="str">
        <f>IF(CALCULO!DE22=0,"",CALCULO!DE22)</f>
        <v/>
      </c>
      <c r="G126" s="329"/>
      <c r="H126" s="94"/>
      <c r="I126" s="95" t="str">
        <f t="shared" si="2"/>
        <v/>
      </c>
      <c r="J126" s="329"/>
      <c r="K126" s="381"/>
      <c r="L126" s="382"/>
      <c r="M126" s="95" t="str">
        <f t="shared" si="3"/>
        <v/>
      </c>
      <c r="N126" s="329"/>
      <c r="O126" s="94"/>
      <c r="P126" s="95" t="str">
        <f t="shared" si="4"/>
        <v/>
      </c>
      <c r="Q126" s="329"/>
      <c r="R126" s="94"/>
      <c r="S126" s="95" t="str">
        <f t="shared" si="5"/>
        <v/>
      </c>
      <c r="T126" s="329"/>
      <c r="U126" s="94"/>
      <c r="V126" s="95" t="str">
        <f t="shared" si="6"/>
        <v/>
      </c>
      <c r="W126" s="369"/>
    </row>
    <row r="127" spans="1:23" s="28" customFormat="1">
      <c r="A127" s="390"/>
      <c r="B127" s="359"/>
      <c r="D127" s="143"/>
      <c r="E127" s="144"/>
      <c r="F127" s="91" t="str">
        <f>IF(CALCULO!DE23=0,"",CALCULO!DE23)</f>
        <v/>
      </c>
      <c r="G127" s="329"/>
      <c r="H127" s="94"/>
      <c r="I127" s="95" t="str">
        <f t="shared" si="2"/>
        <v/>
      </c>
      <c r="J127" s="329"/>
      <c r="K127" s="381"/>
      <c r="L127" s="382"/>
      <c r="M127" s="95" t="str">
        <f t="shared" si="3"/>
        <v/>
      </c>
      <c r="N127" s="329"/>
      <c r="O127" s="94"/>
      <c r="P127" s="95" t="str">
        <f t="shared" si="4"/>
        <v/>
      </c>
      <c r="Q127" s="329"/>
      <c r="R127" s="94"/>
      <c r="S127" s="95" t="str">
        <f t="shared" si="5"/>
        <v/>
      </c>
      <c r="T127" s="329"/>
      <c r="U127" s="94"/>
      <c r="V127" s="95" t="str">
        <f t="shared" si="6"/>
        <v/>
      </c>
      <c r="W127" s="369"/>
    </row>
    <row r="128" spans="1:23" s="28" customFormat="1">
      <c r="A128" s="390"/>
      <c r="B128" s="359"/>
      <c r="E128" s="144"/>
      <c r="F128" s="91" t="str">
        <f>IF(CALCULO!DE24=0,"",CALCULO!DE24)</f>
        <v/>
      </c>
      <c r="G128" s="329"/>
      <c r="H128" s="94"/>
      <c r="I128" s="95" t="str">
        <f t="shared" si="2"/>
        <v/>
      </c>
      <c r="J128" s="329"/>
      <c r="K128" s="381"/>
      <c r="L128" s="382"/>
      <c r="M128" s="95" t="str">
        <f t="shared" si="3"/>
        <v/>
      </c>
      <c r="N128" s="329"/>
      <c r="O128" s="94"/>
      <c r="P128" s="95" t="str">
        <f t="shared" si="4"/>
        <v/>
      </c>
      <c r="Q128" s="329"/>
      <c r="R128" s="94"/>
      <c r="S128" s="95" t="str">
        <f t="shared" si="5"/>
        <v/>
      </c>
      <c r="T128" s="329"/>
      <c r="U128" s="94"/>
      <c r="V128" s="95" t="str">
        <f t="shared" si="6"/>
        <v/>
      </c>
      <c r="W128" s="369"/>
    </row>
    <row r="129" spans="1:23" s="28" customFormat="1">
      <c r="A129" s="390"/>
      <c r="B129" s="359"/>
      <c r="E129" s="144"/>
      <c r="F129" s="103"/>
      <c r="G129" s="329"/>
      <c r="H129" s="103"/>
      <c r="I129" s="103"/>
      <c r="J129" s="104"/>
      <c r="K129" s="103"/>
      <c r="L129" s="103"/>
      <c r="M129" s="103"/>
      <c r="N129" s="104"/>
      <c r="O129" s="103"/>
      <c r="P129" s="103"/>
      <c r="Q129" s="104"/>
      <c r="R129" s="103"/>
      <c r="S129" s="103"/>
      <c r="T129" s="329"/>
      <c r="U129" s="103"/>
      <c r="V129" s="103"/>
      <c r="W129" s="369"/>
    </row>
    <row r="130" spans="1:23" s="28" customFormat="1">
      <c r="A130" s="390"/>
      <c r="B130" s="359"/>
      <c r="E130" s="144"/>
      <c r="F130" s="92" t="s">
        <v>193</v>
      </c>
      <c r="G130" s="329"/>
      <c r="H130" s="319" t="s">
        <v>307</v>
      </c>
      <c r="I130" s="93" t="s">
        <v>194</v>
      </c>
      <c r="J130" s="329"/>
      <c r="K130" s="319" t="s">
        <v>307</v>
      </c>
      <c r="L130" s="320"/>
      <c r="M130" s="93" t="s">
        <v>194</v>
      </c>
      <c r="N130" s="329"/>
      <c r="O130" s="319" t="s">
        <v>307</v>
      </c>
      <c r="P130" s="93" t="s">
        <v>194</v>
      </c>
      <c r="Q130" s="329"/>
      <c r="R130" s="319" t="s">
        <v>307</v>
      </c>
      <c r="S130" s="93" t="s">
        <v>194</v>
      </c>
      <c r="T130" s="329"/>
      <c r="U130" s="319" t="s">
        <v>307</v>
      </c>
      <c r="V130" s="93" t="s">
        <v>194</v>
      </c>
      <c r="W130" s="369"/>
    </row>
    <row r="131" spans="1:23" s="28" customFormat="1">
      <c r="A131" s="390"/>
      <c r="B131" s="359"/>
      <c r="E131" s="144"/>
      <c r="F131" s="91">
        <f>F115</f>
        <v>26</v>
      </c>
      <c r="G131" s="329"/>
      <c r="H131" s="316" t="str">
        <f>IF(H115="","",
        IF($F$82="Fornecedor","Fornecedor",$F$74  +  H115*(IF(E91="",$F$75,E91))  +  I115*$F$76  +  IF($F$85="Integral",H115,IF($F$85="Fabricante",0,$F$85))*(PI()*$F131*$F131*($F$84)/(4*10000*100))*7860*$F$77))</f>
        <v>Fornecedor</v>
      </c>
      <c r="I131" s="140">
        <f t="shared" ref="I131:I144" si="7">IF(H115="","",$I$85/(PI()*(F131/200)^2)/1000)</f>
        <v>9.4174522539583023</v>
      </c>
      <c r="J131" s="329"/>
      <c r="K131" s="385" t="str">
        <f t="shared" ref="K131:K144" si="8">IF(K115="","",
        IF($F$82="Fornecedor","Fornecedor",$F$74+2*(K115*(IF(E91="",$F$75,E91))+M115*$F$76  +  IF($F$85="Integral",K115,IF($F$85="Fabricante",0,$F$85))*(PI()*$F131*$F131*$F$83/(4*10000*100))*7860*$F$77)))</f>
        <v>Fornecedor</v>
      </c>
      <c r="L131" s="385"/>
      <c r="M131" s="140">
        <f t="shared" ref="M131:M144" si="9">IF(K115="","",$M$85/(PI()*($F131/200)^2)/1000)</f>
        <v>5.0226412021110951</v>
      </c>
      <c r="N131" s="329"/>
      <c r="O131" s="316" t="str">
        <f t="shared" ref="O131:O144" si="10">IF(O115="","",
        IF($F$82="Fornecedor","Fornecedor",$F$74+3*(O115*(IF(E91="",$F$75,E91))+P115*$F$76  +  IF($F$85="Integral",O115,IF($F$85="Fabricante",0,$F$85))*(PI()*$F131*$F131*$F$83/(4*10000*100))*7860*$F$77)))</f>
        <v>Fornecedor</v>
      </c>
      <c r="P131" s="140">
        <f t="shared" ref="P131:P144" si="11">IF(O115="","",$P$85/(PI()*($F131/200)^2)/1000)</f>
        <v>3.5876008586507813</v>
      </c>
      <c r="Q131" s="329"/>
      <c r="R131" s="316" t="str">
        <f t="shared" ref="R131:R144" si="12">IF(R115="","",
        IF($F$82="Fornecedor","Fornecedor",$F$74+4*(R115*(IF(E91="",$F$75,E91))+S115*$F$76  +  IF($F$85="Integral",R115,IF($F$85="Fabricante",0,$F$85))*(PI()*$F131*$F131*$F$83/(4*10000*100))*7860*$F$77)))</f>
        <v>Fornecedor</v>
      </c>
      <c r="S131" s="140">
        <f t="shared" ref="S131:S144" si="13">IF(R115="","",$S$85/(PI()*($F131/200)^2)/1000)</f>
        <v>2.8976776166025546</v>
      </c>
      <c r="T131" s="329"/>
      <c r="U131" s="316" t="str">
        <f t="shared" ref="U131:U144" si="14">IF(U115="","",
        IF($F$82="Fornecedor","Fornecedor",$F$74+5*(U115*(IF(E91="",$F$75,E91))+V115*$F$76  +  IF($F$85="Integral",U115,IF($F$85="Fabricante",0,$F$85))*(PI()*$F131*$F131*$F$83/(4*10000*100))*7860*$F$77)))</f>
        <v>Fornecedor</v>
      </c>
      <c r="V131" s="140">
        <f t="shared" ref="V131:V144" si="15">IF(U115="","",V$85/(PI()*($F131/200)^2)/1000)</f>
        <v>2.3543630634895756</v>
      </c>
      <c r="W131" s="369"/>
    </row>
    <row r="132" spans="1:23" s="28" customFormat="1">
      <c r="A132" s="390"/>
      <c r="B132" s="359"/>
      <c r="E132" s="144"/>
      <c r="F132" s="91">
        <f t="shared" ref="F132:F144" si="16">F116</f>
        <v>33</v>
      </c>
      <c r="G132" s="329"/>
      <c r="H132" s="316" t="str">
        <f t="shared" ref="H132:H144" si="17">IF(H116="","",
        IF($F$82="Fornecedor","Fornecedor",$F$74  +  H116*(IF(E92="",$F$75,E92))  +  I116*$F$76  +  IF($F$85="Integral",H116,IF($F$85="Fabricante",0,$F$85))*(PI()*$F132*$F132*$F$84/(4*10000*100))*7860*$F$77))</f>
        <v>Fornecedor</v>
      </c>
      <c r="I132" s="140">
        <f t="shared" si="7"/>
        <v>5.8459115919888092</v>
      </c>
      <c r="J132" s="329"/>
      <c r="K132" s="386" t="str">
        <f t="shared" si="8"/>
        <v>Fornecedor</v>
      </c>
      <c r="L132" s="386"/>
      <c r="M132" s="140">
        <f t="shared" si="9"/>
        <v>3.1178195157273647</v>
      </c>
      <c r="N132" s="329"/>
      <c r="O132" s="316" t="str">
        <f t="shared" si="10"/>
        <v>Fornecedor</v>
      </c>
      <c r="P132" s="140">
        <f t="shared" si="11"/>
        <v>2.2270139398052602</v>
      </c>
      <c r="Q132" s="329"/>
      <c r="R132" s="316" t="str">
        <f t="shared" si="12"/>
        <v>Fornecedor</v>
      </c>
      <c r="S132" s="140">
        <f t="shared" si="13"/>
        <v>1.7987420283042488</v>
      </c>
      <c r="T132" s="329"/>
      <c r="U132" s="316" t="str">
        <f t="shared" si="14"/>
        <v>Fornecedor</v>
      </c>
      <c r="V132" s="140">
        <f t="shared" si="15"/>
        <v>1.4614778979972023</v>
      </c>
      <c r="W132" s="369"/>
    </row>
    <row r="133" spans="1:23" s="28" customFormat="1">
      <c r="A133" s="390"/>
      <c r="B133" s="359"/>
      <c r="E133" s="144"/>
      <c r="F133" s="91">
        <f t="shared" si="16"/>
        <v>38</v>
      </c>
      <c r="G133" s="329"/>
      <c r="H133" s="316" t="str">
        <f t="shared" si="17"/>
        <v>Fornecedor</v>
      </c>
      <c r="I133" s="140">
        <f t="shared" si="7"/>
        <v>4.4087241853710619</v>
      </c>
      <c r="J133" s="329"/>
      <c r="K133" s="386" t="str">
        <f t="shared" si="8"/>
        <v>Fornecedor</v>
      </c>
      <c r="L133" s="386"/>
      <c r="M133" s="140">
        <f t="shared" si="9"/>
        <v>2.3513195655312336</v>
      </c>
      <c r="N133" s="329"/>
      <c r="O133" s="316" t="str">
        <f t="shared" si="10"/>
        <v>Fornecedor</v>
      </c>
      <c r="P133" s="140">
        <f t="shared" si="11"/>
        <v>1.6795139753794519</v>
      </c>
      <c r="Q133" s="329"/>
      <c r="R133" s="316" t="str">
        <f t="shared" si="12"/>
        <v>Fornecedor</v>
      </c>
      <c r="S133" s="140">
        <f t="shared" si="13"/>
        <v>1.3565305185757113</v>
      </c>
      <c r="T133" s="329"/>
      <c r="U133" s="316" t="str">
        <f t="shared" si="14"/>
        <v>Fornecedor</v>
      </c>
      <c r="V133" s="140">
        <f t="shared" si="15"/>
        <v>1.1021810463427655</v>
      </c>
      <c r="W133" s="369"/>
    </row>
    <row r="134" spans="1:23" s="28" customFormat="1">
      <c r="A134" s="390"/>
      <c r="B134" s="359"/>
      <c r="E134" s="144"/>
      <c r="F134" s="91">
        <f t="shared" si="16"/>
        <v>42</v>
      </c>
      <c r="G134" s="329"/>
      <c r="H134" s="316" t="str">
        <f t="shared" si="17"/>
        <v>Fornecedor</v>
      </c>
      <c r="I134" s="140">
        <f t="shared" si="7"/>
        <v>3.6089556256665616</v>
      </c>
      <c r="J134" s="329"/>
      <c r="K134" s="386" t="str">
        <f t="shared" si="8"/>
        <v>Fornecedor</v>
      </c>
      <c r="L134" s="386"/>
      <c r="M134" s="140">
        <f t="shared" si="9"/>
        <v>1.9247763336888328</v>
      </c>
      <c r="N134" s="329"/>
      <c r="O134" s="316" t="str">
        <f t="shared" si="10"/>
        <v>Fornecedor</v>
      </c>
      <c r="P134" s="140">
        <f t="shared" si="11"/>
        <v>1.374840238349166</v>
      </c>
      <c r="Q134" s="329"/>
      <c r="R134" s="316" t="str">
        <f t="shared" si="12"/>
        <v>Fornecedor</v>
      </c>
      <c r="S134" s="140">
        <f t="shared" si="13"/>
        <v>1.1104478848204804</v>
      </c>
      <c r="T134" s="329"/>
      <c r="U134" s="316" t="str">
        <f t="shared" si="14"/>
        <v>Fornecedor</v>
      </c>
      <c r="V134" s="140">
        <f t="shared" si="15"/>
        <v>0.9022389064166404</v>
      </c>
      <c r="W134" s="369"/>
    </row>
    <row r="135" spans="1:23">
      <c r="A135" s="390"/>
      <c r="B135" s="359"/>
      <c r="C135" s="28"/>
      <c r="D135" s="28"/>
      <c r="E135" s="144"/>
      <c r="F135" s="91">
        <f t="shared" si="16"/>
        <v>50</v>
      </c>
      <c r="G135" s="329"/>
      <c r="H135" s="316" t="str">
        <f t="shared" si="17"/>
        <v>Fornecedor</v>
      </c>
      <c r="I135" s="140">
        <f t="shared" si="7"/>
        <v>2.5464790894703255</v>
      </c>
      <c r="J135" s="27"/>
      <c r="K135" s="386" t="str">
        <f t="shared" si="8"/>
        <v>Fornecedor</v>
      </c>
      <c r="L135" s="386"/>
      <c r="M135" s="140">
        <f t="shared" si="9"/>
        <v>1.3581221810508401</v>
      </c>
      <c r="N135" s="329"/>
      <c r="O135" s="316" t="str">
        <f t="shared" si="10"/>
        <v>Fornecedor</v>
      </c>
      <c r="P135" s="140">
        <f t="shared" si="11"/>
        <v>0.97008727217917146</v>
      </c>
      <c r="Q135" s="329"/>
      <c r="R135" s="316" t="str">
        <f t="shared" si="12"/>
        <v>Fornecedor</v>
      </c>
      <c r="S135" s="140">
        <f t="shared" si="13"/>
        <v>0.78353202752933093</v>
      </c>
      <c r="T135" s="329"/>
      <c r="U135" s="316" t="str">
        <f t="shared" si="14"/>
        <v>Fornecedor</v>
      </c>
      <c r="V135" s="140">
        <f t="shared" si="15"/>
        <v>0.63661977236758138</v>
      </c>
      <c r="W135" s="369"/>
    </row>
    <row r="136" spans="1:23">
      <c r="A136" s="390"/>
      <c r="B136" s="359"/>
      <c r="C136" s="28"/>
      <c r="D136" s="28"/>
      <c r="E136" s="144"/>
      <c r="F136" s="91">
        <f t="shared" si="16"/>
        <v>60</v>
      </c>
      <c r="G136" s="329"/>
      <c r="H136" s="316" t="str">
        <f t="shared" si="17"/>
        <v>Fornecedor</v>
      </c>
      <c r="I136" s="140">
        <f t="shared" si="7"/>
        <v>1.7683882565766149</v>
      </c>
      <c r="J136" s="27"/>
      <c r="K136" s="386" t="str">
        <f t="shared" si="8"/>
        <v>Fornecedor</v>
      </c>
      <c r="L136" s="386"/>
      <c r="M136" s="140">
        <f t="shared" si="9"/>
        <v>0.94314040350752792</v>
      </c>
      <c r="N136" s="329"/>
      <c r="O136" s="316" t="str">
        <f t="shared" si="10"/>
        <v>Fornecedor</v>
      </c>
      <c r="P136" s="140">
        <f t="shared" si="11"/>
        <v>0.67367171679109128</v>
      </c>
      <c r="Q136" s="329"/>
      <c r="R136" s="316" t="str">
        <f t="shared" si="12"/>
        <v>Fornecedor</v>
      </c>
      <c r="S136" s="140">
        <f t="shared" si="13"/>
        <v>0.54411946356203533</v>
      </c>
      <c r="T136" s="329"/>
      <c r="U136" s="316" t="str">
        <f t="shared" si="14"/>
        <v>Fornecedor</v>
      </c>
      <c r="V136" s="140">
        <f t="shared" si="15"/>
        <v>0.44209706414415373</v>
      </c>
      <c r="W136" s="369"/>
    </row>
    <row r="137" spans="1:23">
      <c r="A137" s="390"/>
      <c r="B137" s="359"/>
      <c r="C137" s="28"/>
      <c r="D137" s="28"/>
      <c r="E137" s="144"/>
      <c r="F137" s="91" t="str">
        <f t="shared" si="16"/>
        <v/>
      </c>
      <c r="G137" s="329"/>
      <c r="H137" s="316" t="str">
        <f t="shared" si="17"/>
        <v/>
      </c>
      <c r="I137" s="140" t="str">
        <f t="shared" si="7"/>
        <v/>
      </c>
      <c r="J137" s="27"/>
      <c r="K137" s="386" t="str">
        <f t="shared" si="8"/>
        <v/>
      </c>
      <c r="L137" s="386"/>
      <c r="M137" s="140" t="str">
        <f t="shared" si="9"/>
        <v/>
      </c>
      <c r="N137" s="27"/>
      <c r="O137" s="316" t="str">
        <f t="shared" si="10"/>
        <v/>
      </c>
      <c r="P137" s="140" t="str">
        <f t="shared" si="11"/>
        <v/>
      </c>
      <c r="Q137" s="329"/>
      <c r="R137" s="316" t="str">
        <f t="shared" si="12"/>
        <v/>
      </c>
      <c r="S137" s="140" t="str">
        <f t="shared" si="13"/>
        <v/>
      </c>
      <c r="T137" s="329"/>
      <c r="U137" s="316" t="str">
        <f t="shared" si="14"/>
        <v/>
      </c>
      <c r="V137" s="140" t="str">
        <f t="shared" si="15"/>
        <v/>
      </c>
      <c r="W137" s="369"/>
    </row>
    <row r="138" spans="1:23">
      <c r="A138" s="390"/>
      <c r="B138" s="359"/>
      <c r="C138" s="28"/>
      <c r="D138" s="28"/>
      <c r="E138" s="144"/>
      <c r="F138" s="91" t="str">
        <f t="shared" si="16"/>
        <v/>
      </c>
      <c r="G138" s="329"/>
      <c r="H138" s="316" t="str">
        <f t="shared" si="17"/>
        <v/>
      </c>
      <c r="I138" s="140" t="str">
        <f t="shared" si="7"/>
        <v/>
      </c>
      <c r="J138" s="27"/>
      <c r="K138" s="386" t="str">
        <f t="shared" si="8"/>
        <v/>
      </c>
      <c r="L138" s="386"/>
      <c r="M138" s="140" t="str">
        <f t="shared" si="9"/>
        <v/>
      </c>
      <c r="N138" s="27"/>
      <c r="O138" s="316" t="str">
        <f t="shared" si="10"/>
        <v/>
      </c>
      <c r="P138" s="140" t="str">
        <f t="shared" si="11"/>
        <v/>
      </c>
      <c r="Q138" s="329"/>
      <c r="R138" s="316" t="str">
        <f t="shared" si="12"/>
        <v/>
      </c>
      <c r="S138" s="140" t="str">
        <f t="shared" si="13"/>
        <v/>
      </c>
      <c r="T138" s="329"/>
      <c r="U138" s="316" t="str">
        <f t="shared" si="14"/>
        <v/>
      </c>
      <c r="V138" s="140" t="str">
        <f t="shared" si="15"/>
        <v/>
      </c>
      <c r="W138" s="369"/>
    </row>
    <row r="139" spans="1:23">
      <c r="A139" s="390"/>
      <c r="B139" s="359"/>
      <c r="C139" s="28"/>
      <c r="D139" s="28"/>
      <c r="E139" s="144"/>
      <c r="F139" s="91" t="str">
        <f t="shared" si="16"/>
        <v/>
      </c>
      <c r="G139" s="329"/>
      <c r="H139" s="316" t="str">
        <f t="shared" si="17"/>
        <v/>
      </c>
      <c r="I139" s="140" t="str">
        <f t="shared" si="7"/>
        <v/>
      </c>
      <c r="J139" s="27"/>
      <c r="K139" s="386" t="str">
        <f t="shared" si="8"/>
        <v/>
      </c>
      <c r="L139" s="386"/>
      <c r="M139" s="140" t="str">
        <f t="shared" si="9"/>
        <v/>
      </c>
      <c r="N139" s="27"/>
      <c r="O139" s="316" t="str">
        <f t="shared" si="10"/>
        <v/>
      </c>
      <c r="P139" s="140" t="str">
        <f t="shared" si="11"/>
        <v/>
      </c>
      <c r="Q139" s="27"/>
      <c r="R139" s="316" t="str">
        <f t="shared" si="12"/>
        <v/>
      </c>
      <c r="S139" s="140" t="str">
        <f t="shared" si="13"/>
        <v/>
      </c>
      <c r="T139" s="27"/>
      <c r="U139" s="316" t="str">
        <f t="shared" si="14"/>
        <v/>
      </c>
      <c r="V139" s="140" t="str">
        <f t="shared" si="15"/>
        <v/>
      </c>
      <c r="W139" s="369"/>
    </row>
    <row r="140" spans="1:23">
      <c r="A140" s="390"/>
      <c r="B140" s="359"/>
      <c r="C140" s="28"/>
      <c r="D140" s="28"/>
      <c r="E140" s="144"/>
      <c r="F140" s="91" t="str">
        <f t="shared" si="16"/>
        <v/>
      </c>
      <c r="G140" s="329"/>
      <c r="H140" s="316" t="str">
        <f t="shared" si="17"/>
        <v/>
      </c>
      <c r="I140" s="140" t="str">
        <f t="shared" si="7"/>
        <v/>
      </c>
      <c r="J140" s="27"/>
      <c r="K140" s="386" t="str">
        <f t="shared" si="8"/>
        <v/>
      </c>
      <c r="L140" s="386"/>
      <c r="M140" s="140" t="str">
        <f t="shared" si="9"/>
        <v/>
      </c>
      <c r="N140" s="27"/>
      <c r="O140" s="316" t="str">
        <f t="shared" si="10"/>
        <v/>
      </c>
      <c r="P140" s="140" t="str">
        <f t="shared" si="11"/>
        <v/>
      </c>
      <c r="Q140" s="27"/>
      <c r="R140" s="316" t="str">
        <f t="shared" si="12"/>
        <v/>
      </c>
      <c r="S140" s="140" t="str">
        <f t="shared" si="13"/>
        <v/>
      </c>
      <c r="T140" s="27"/>
      <c r="U140" s="316" t="str">
        <f t="shared" si="14"/>
        <v/>
      </c>
      <c r="V140" s="140" t="str">
        <f t="shared" si="15"/>
        <v/>
      </c>
      <c r="W140" s="369"/>
    </row>
    <row r="141" spans="1:23">
      <c r="A141" s="390"/>
      <c r="B141" s="359"/>
      <c r="C141" s="28"/>
      <c r="D141" s="28"/>
      <c r="E141" s="28"/>
      <c r="F141" s="91" t="str">
        <f t="shared" si="16"/>
        <v/>
      </c>
      <c r="G141" s="329"/>
      <c r="H141" s="316" t="str">
        <f t="shared" si="17"/>
        <v/>
      </c>
      <c r="I141" s="140" t="str">
        <f t="shared" si="7"/>
        <v/>
      </c>
      <c r="J141" s="27"/>
      <c r="K141" s="386" t="str">
        <f t="shared" si="8"/>
        <v/>
      </c>
      <c r="L141" s="386"/>
      <c r="M141" s="140" t="str">
        <f t="shared" si="9"/>
        <v/>
      </c>
      <c r="N141" s="27"/>
      <c r="O141" s="316" t="str">
        <f t="shared" si="10"/>
        <v/>
      </c>
      <c r="P141" s="140" t="str">
        <f t="shared" si="11"/>
        <v/>
      </c>
      <c r="Q141" s="27"/>
      <c r="R141" s="316" t="str">
        <f t="shared" si="12"/>
        <v/>
      </c>
      <c r="S141" s="140" t="str">
        <f t="shared" si="13"/>
        <v/>
      </c>
      <c r="T141" s="27"/>
      <c r="U141" s="316" t="str">
        <f t="shared" si="14"/>
        <v/>
      </c>
      <c r="V141" s="140" t="str">
        <f t="shared" si="15"/>
        <v/>
      </c>
      <c r="W141" s="369"/>
    </row>
    <row r="142" spans="1:23">
      <c r="A142" s="390"/>
      <c r="B142" s="359"/>
      <c r="C142" s="28"/>
      <c r="D142" s="28"/>
      <c r="E142" s="28"/>
      <c r="F142" s="91" t="str">
        <f t="shared" si="16"/>
        <v/>
      </c>
      <c r="G142" s="27"/>
      <c r="H142" s="316" t="str">
        <f t="shared" si="17"/>
        <v/>
      </c>
      <c r="I142" s="140" t="str">
        <f t="shared" si="7"/>
        <v/>
      </c>
      <c r="J142" s="27"/>
      <c r="K142" s="386" t="str">
        <f t="shared" si="8"/>
        <v/>
      </c>
      <c r="L142" s="386"/>
      <c r="M142" s="140" t="str">
        <f t="shared" si="9"/>
        <v/>
      </c>
      <c r="N142" s="27"/>
      <c r="O142" s="316" t="str">
        <f t="shared" si="10"/>
        <v/>
      </c>
      <c r="P142" s="140" t="str">
        <f t="shared" si="11"/>
        <v/>
      </c>
      <c r="Q142" s="27"/>
      <c r="R142" s="316" t="str">
        <f t="shared" si="12"/>
        <v/>
      </c>
      <c r="S142" s="140" t="str">
        <f t="shared" si="13"/>
        <v/>
      </c>
      <c r="T142" s="27"/>
      <c r="U142" s="316" t="str">
        <f t="shared" si="14"/>
        <v/>
      </c>
      <c r="V142" s="140" t="str">
        <f t="shared" si="15"/>
        <v/>
      </c>
      <c r="W142" s="369"/>
    </row>
    <row r="143" spans="1:23">
      <c r="A143" s="390"/>
      <c r="B143" s="359"/>
      <c r="C143" s="28"/>
      <c r="D143" s="28"/>
      <c r="E143" s="28"/>
      <c r="F143" s="91" t="str">
        <f t="shared" si="16"/>
        <v/>
      </c>
      <c r="G143" s="27"/>
      <c r="H143" s="316" t="str">
        <f t="shared" si="17"/>
        <v/>
      </c>
      <c r="I143" s="140" t="str">
        <f t="shared" si="7"/>
        <v/>
      </c>
      <c r="J143" s="27"/>
      <c r="K143" s="386" t="str">
        <f t="shared" si="8"/>
        <v/>
      </c>
      <c r="L143" s="386"/>
      <c r="M143" s="140" t="str">
        <f t="shared" si="9"/>
        <v/>
      </c>
      <c r="N143" s="27"/>
      <c r="O143" s="316" t="str">
        <f t="shared" si="10"/>
        <v/>
      </c>
      <c r="P143" s="140" t="str">
        <f t="shared" si="11"/>
        <v/>
      </c>
      <c r="Q143" s="27"/>
      <c r="R143" s="316" t="str">
        <f t="shared" si="12"/>
        <v/>
      </c>
      <c r="S143" s="140" t="str">
        <f t="shared" si="13"/>
        <v/>
      </c>
      <c r="T143" s="27"/>
      <c r="U143" s="316" t="str">
        <f t="shared" si="14"/>
        <v/>
      </c>
      <c r="V143" s="140" t="str">
        <f t="shared" si="15"/>
        <v/>
      </c>
      <c r="W143" s="369"/>
    </row>
    <row r="144" spans="1:23">
      <c r="A144" s="390"/>
      <c r="B144" s="359"/>
      <c r="C144" s="28"/>
      <c r="D144" s="28"/>
      <c r="E144" s="28"/>
      <c r="F144" s="91" t="str">
        <f t="shared" si="16"/>
        <v/>
      </c>
      <c r="G144" s="27"/>
      <c r="H144" s="316" t="str">
        <f t="shared" si="17"/>
        <v/>
      </c>
      <c r="I144" s="140" t="str">
        <f t="shared" si="7"/>
        <v/>
      </c>
      <c r="J144" s="27"/>
      <c r="K144" s="386" t="str">
        <f t="shared" si="8"/>
        <v/>
      </c>
      <c r="L144" s="386"/>
      <c r="M144" s="140" t="str">
        <f t="shared" si="9"/>
        <v/>
      </c>
      <c r="N144" s="27"/>
      <c r="O144" s="316" t="str">
        <f t="shared" si="10"/>
        <v/>
      </c>
      <c r="P144" s="140" t="str">
        <f t="shared" si="11"/>
        <v/>
      </c>
      <c r="Q144" s="27"/>
      <c r="R144" s="316" t="str">
        <f t="shared" si="12"/>
        <v/>
      </c>
      <c r="S144" s="140" t="str">
        <f t="shared" si="13"/>
        <v/>
      </c>
      <c r="T144" s="27"/>
      <c r="U144" s="316" t="str">
        <f t="shared" si="14"/>
        <v/>
      </c>
      <c r="V144" s="140" t="str">
        <f t="shared" si="15"/>
        <v/>
      </c>
      <c r="W144" s="369"/>
    </row>
    <row r="145" spans="1:23">
      <c r="A145" s="390"/>
      <c r="B145" s="359"/>
      <c r="C145" s="28"/>
      <c r="D145" s="28"/>
      <c r="E145" s="28"/>
      <c r="F145" s="28"/>
      <c r="G145" s="27"/>
      <c r="H145" s="329"/>
      <c r="I145" s="29"/>
      <c r="J145" s="27"/>
      <c r="K145" s="27"/>
      <c r="L145" s="27"/>
      <c r="M145" s="27"/>
      <c r="N145" s="27"/>
      <c r="O145" s="27"/>
      <c r="P145" s="27"/>
      <c r="Q145" s="27"/>
      <c r="R145" s="27"/>
      <c r="S145" s="27"/>
      <c r="T145" s="27"/>
      <c r="U145" s="27"/>
      <c r="V145" s="27"/>
      <c r="W145" s="369"/>
    </row>
    <row r="146" spans="1:23">
      <c r="A146" s="390"/>
      <c r="B146" s="359"/>
      <c r="C146" s="28"/>
      <c r="D146" s="28"/>
      <c r="E146" s="28"/>
      <c r="F146" s="92" t="s">
        <v>193</v>
      </c>
      <c r="G146" s="27"/>
      <c r="H146" s="319" t="s">
        <v>201</v>
      </c>
      <c r="I146" s="93" t="s">
        <v>271</v>
      </c>
      <c r="J146" s="329"/>
      <c r="K146" s="362" t="s">
        <v>201</v>
      </c>
      <c r="L146" s="389"/>
      <c r="M146" s="93" t="s">
        <v>271</v>
      </c>
      <c r="N146" s="329"/>
      <c r="O146" s="319" t="s">
        <v>201</v>
      </c>
      <c r="P146" s="93" t="s">
        <v>271</v>
      </c>
      <c r="Q146" s="329"/>
      <c r="R146" s="319" t="s">
        <v>201</v>
      </c>
      <c r="S146" s="93" t="s">
        <v>271</v>
      </c>
      <c r="T146" s="27"/>
      <c r="U146" s="319" t="s">
        <v>201</v>
      </c>
      <c r="V146" s="93" t="s">
        <v>271</v>
      </c>
      <c r="W146" s="369"/>
    </row>
    <row r="147" spans="1:23">
      <c r="A147" s="390"/>
      <c r="B147" s="359"/>
      <c r="C147" s="28"/>
      <c r="D147" s="28"/>
      <c r="E147" s="28"/>
      <c r="F147" s="91">
        <f>F131</f>
        <v>26</v>
      </c>
      <c r="G147" s="27"/>
      <c r="H147" s="318">
        <v>6.2683303952069762</v>
      </c>
      <c r="I147" s="145" t="str">
        <f t="shared" ref="I147:I160" si="18">IF(H147="","",
        IF($F$83="Fabricante","Fabricante",$F$83*PI()*$F147*$F147/(4*100)))</f>
        <v>Fabricante</v>
      </c>
      <c r="J147" s="126"/>
      <c r="K147" s="391">
        <v>3.4496293858185534</v>
      </c>
      <c r="L147" s="391"/>
      <c r="M147" s="145" t="str">
        <f t="shared" ref="M147:M160" si="19">IF(K147="","",
        IF($F$83="Fabricante","Fabricante",$F$83*PI()*$F147*$F147/(4*100)))</f>
        <v>Fabricante</v>
      </c>
      <c r="N147" s="126"/>
      <c r="O147" s="318">
        <v>7.5111264621374838</v>
      </c>
      <c r="P147" s="145" t="str">
        <f t="shared" ref="P147:P160" si="20">IF(O147="","",
        IF($F$83="Fabricante","Fabricante",$F$83*PI()*$F147*$F147/(4*100)))</f>
        <v>Fabricante</v>
      </c>
      <c r="Q147" s="126"/>
      <c r="R147" s="318">
        <v>3.616811573711205</v>
      </c>
      <c r="S147" s="145" t="str">
        <f t="shared" ref="S147:S160" si="21">IF(R147="","",
        IF($F$83="Fabricante","Fabricante",$F$83*PI()*$F147*$F147/(4*100)))</f>
        <v>Fabricante</v>
      </c>
      <c r="T147" s="27"/>
      <c r="U147" s="318">
        <v>3.529276654951981</v>
      </c>
      <c r="V147" s="145" t="str">
        <f t="shared" ref="V147:V160" si="22">IF(U147="","",
        IF($F$83="Fabricante","Fabricante",$F$83*PI()*$F147*$F147/(4*100)))</f>
        <v>Fabricante</v>
      </c>
      <c r="W147" s="369"/>
    </row>
    <row r="148" spans="1:23">
      <c r="A148" s="390"/>
      <c r="B148" s="359"/>
      <c r="C148" s="28"/>
      <c r="D148" s="28"/>
      <c r="E148" s="28"/>
      <c r="F148" s="91">
        <f t="shared" ref="F148:F160" si="23">F132</f>
        <v>33</v>
      </c>
      <c r="G148" s="27"/>
      <c r="H148" s="318">
        <v>7.0422260490449453</v>
      </c>
      <c r="I148" s="145" t="str">
        <f t="shared" si="18"/>
        <v>Fabricante</v>
      </c>
      <c r="J148" s="126"/>
      <c r="K148" s="383">
        <v>4.2850361583009651</v>
      </c>
      <c r="L148" s="383"/>
      <c r="M148" s="145" t="str">
        <f t="shared" si="19"/>
        <v>Fabricante</v>
      </c>
      <c r="N148" s="126"/>
      <c r="O148" s="318">
        <v>7.721215627615619</v>
      </c>
      <c r="P148" s="145" t="str">
        <f t="shared" si="20"/>
        <v>Fabricante</v>
      </c>
      <c r="Q148" s="126"/>
      <c r="R148" s="318">
        <v>3.7092232842758222</v>
      </c>
      <c r="S148" s="145" t="str">
        <f t="shared" si="21"/>
        <v>Fabricante</v>
      </c>
      <c r="T148" s="27"/>
      <c r="U148" s="318">
        <v>4.1691241850145726</v>
      </c>
      <c r="V148" s="145" t="str">
        <f t="shared" si="22"/>
        <v>Fabricante</v>
      </c>
      <c r="W148" s="369"/>
    </row>
    <row r="149" spans="1:23">
      <c r="A149" s="390"/>
      <c r="B149" s="359"/>
      <c r="C149" s="28"/>
      <c r="D149" s="28"/>
      <c r="E149" s="28"/>
      <c r="F149" s="91">
        <f t="shared" si="23"/>
        <v>38</v>
      </c>
      <c r="G149" s="27"/>
      <c r="H149" s="318">
        <v>4.9733347151155858</v>
      </c>
      <c r="I149" s="145" t="str">
        <f t="shared" si="18"/>
        <v>Fabricante</v>
      </c>
      <c r="J149" s="126"/>
      <c r="K149" s="383">
        <v>6.9584966018704071</v>
      </c>
      <c r="L149" s="383"/>
      <c r="M149" s="145" t="str">
        <f t="shared" si="19"/>
        <v>Fabricante</v>
      </c>
      <c r="N149" s="126"/>
      <c r="O149" s="318">
        <v>6.3796663894555756</v>
      </c>
      <c r="P149" s="145" t="str">
        <f t="shared" si="20"/>
        <v>Fabricante</v>
      </c>
      <c r="Q149" s="126"/>
      <c r="R149" s="318">
        <v>5.315162594073028</v>
      </c>
      <c r="S149" s="145" t="str">
        <f t="shared" si="21"/>
        <v>Fabricante</v>
      </c>
      <c r="T149" s="27"/>
      <c r="U149" s="318">
        <v>5.1544950812278927</v>
      </c>
      <c r="V149" s="145" t="str">
        <f t="shared" si="22"/>
        <v>Fabricante</v>
      </c>
      <c r="W149" s="369"/>
    </row>
    <row r="150" spans="1:23">
      <c r="A150" s="390"/>
      <c r="B150" s="359"/>
      <c r="C150" s="28"/>
      <c r="D150" s="28"/>
      <c r="E150" s="28"/>
      <c r="F150" s="91">
        <f t="shared" si="23"/>
        <v>42</v>
      </c>
      <c r="G150" s="27"/>
      <c r="H150" s="318">
        <v>4.0016445856592329</v>
      </c>
      <c r="I150" s="145" t="str">
        <f t="shared" si="18"/>
        <v>Fabricante</v>
      </c>
      <c r="J150" s="126"/>
      <c r="K150" s="383">
        <v>8.6365263707401994</v>
      </c>
      <c r="L150" s="383"/>
      <c r="M150" s="145" t="str">
        <f t="shared" si="19"/>
        <v>Fabricante</v>
      </c>
      <c r="N150" s="126"/>
      <c r="O150" s="318">
        <v>5.4951934860697689</v>
      </c>
      <c r="P150" s="145" t="str">
        <f t="shared" si="20"/>
        <v>Fabricante</v>
      </c>
      <c r="Q150" s="126"/>
      <c r="R150" s="318">
        <v>7.0243773257534299</v>
      </c>
      <c r="S150" s="145" t="str">
        <f t="shared" si="21"/>
        <v>Fabricante</v>
      </c>
      <c r="T150" s="27"/>
      <c r="U150" s="318">
        <v>4.5512528252562143</v>
      </c>
      <c r="V150" s="145" t="str">
        <f t="shared" si="22"/>
        <v>Fabricante</v>
      </c>
      <c r="W150" s="369"/>
    </row>
    <row r="151" spans="1:23">
      <c r="A151" s="390"/>
      <c r="B151" s="359"/>
      <c r="C151" s="28"/>
      <c r="D151" s="28"/>
      <c r="E151" s="28"/>
      <c r="F151" s="91">
        <f t="shared" si="23"/>
        <v>50</v>
      </c>
      <c r="G151" s="27"/>
      <c r="H151" s="318">
        <v>7.6674501762292895</v>
      </c>
      <c r="I151" s="145" t="str">
        <f t="shared" si="18"/>
        <v>Fabricante</v>
      </c>
      <c r="J151" s="127"/>
      <c r="K151" s="383">
        <v>7.0074088023002972</v>
      </c>
      <c r="L151" s="383"/>
      <c r="M151" s="145" t="str">
        <f t="shared" si="19"/>
        <v>Fabricante</v>
      </c>
      <c r="N151" s="126"/>
      <c r="O151" s="318">
        <v>10.353481330895173</v>
      </c>
      <c r="P151" s="145" t="str">
        <f t="shared" si="20"/>
        <v>Fabricante</v>
      </c>
      <c r="Q151" s="126"/>
      <c r="R151" s="318">
        <v>5.5350131727377088</v>
      </c>
      <c r="S151" s="145" t="str">
        <f t="shared" si="21"/>
        <v>Fabricante</v>
      </c>
      <c r="T151" s="27"/>
      <c r="U151" s="318">
        <v>9.0509771093890805</v>
      </c>
      <c r="V151" s="145" t="str">
        <f t="shared" si="22"/>
        <v>Fabricante</v>
      </c>
      <c r="W151" s="369"/>
    </row>
    <row r="152" spans="1:23">
      <c r="A152" s="390"/>
      <c r="B152" s="359"/>
      <c r="C152" s="28"/>
      <c r="D152" s="28"/>
      <c r="E152" s="28"/>
      <c r="F152" s="91">
        <f t="shared" si="23"/>
        <v>60</v>
      </c>
      <c r="G152" s="27"/>
      <c r="H152" s="318">
        <v>8.566737668369294</v>
      </c>
      <c r="I152" s="145" t="str">
        <f t="shared" si="18"/>
        <v>Fabricante</v>
      </c>
      <c r="J152" s="127"/>
      <c r="K152" s="383">
        <v>9.1808544425106859</v>
      </c>
      <c r="L152" s="383"/>
      <c r="M152" s="145" t="str">
        <f t="shared" si="19"/>
        <v>Fabricante</v>
      </c>
      <c r="N152" s="126"/>
      <c r="O152" s="318">
        <v>8.4222461703804612</v>
      </c>
      <c r="P152" s="145" t="str">
        <f t="shared" si="20"/>
        <v>Fabricante</v>
      </c>
      <c r="Q152" s="126"/>
      <c r="R152" s="318">
        <v>10.260861483495633</v>
      </c>
      <c r="S152" s="145" t="str">
        <f t="shared" si="21"/>
        <v>Fabricante</v>
      </c>
      <c r="T152" s="27"/>
      <c r="U152" s="318">
        <v>10.158625492536812</v>
      </c>
      <c r="V152" s="145" t="str">
        <f t="shared" si="22"/>
        <v>Fabricante</v>
      </c>
      <c r="W152" s="369"/>
    </row>
    <row r="153" spans="1:23">
      <c r="A153" s="390"/>
      <c r="B153" s="359"/>
      <c r="C153" s="28"/>
      <c r="D153" s="28"/>
      <c r="E153" s="28"/>
      <c r="F153" s="91" t="str">
        <f t="shared" si="23"/>
        <v/>
      </c>
      <c r="G153" s="329"/>
      <c r="H153" s="318"/>
      <c r="I153" s="145" t="str">
        <f t="shared" si="18"/>
        <v/>
      </c>
      <c r="J153" s="127"/>
      <c r="K153" s="383"/>
      <c r="L153" s="383"/>
      <c r="M153" s="145" t="str">
        <f t="shared" si="19"/>
        <v/>
      </c>
      <c r="N153" s="127"/>
      <c r="O153" s="318"/>
      <c r="P153" s="145" t="str">
        <f t="shared" si="20"/>
        <v/>
      </c>
      <c r="Q153" s="126"/>
      <c r="R153" s="318"/>
      <c r="S153" s="145" t="str">
        <f t="shared" si="21"/>
        <v/>
      </c>
      <c r="T153" s="27"/>
      <c r="U153" s="318"/>
      <c r="V153" s="145" t="str">
        <f t="shared" si="22"/>
        <v/>
      </c>
      <c r="W153" s="369"/>
    </row>
    <row r="154" spans="1:23">
      <c r="A154" s="390"/>
      <c r="B154" s="359"/>
      <c r="C154" s="28"/>
      <c r="D154" s="28"/>
      <c r="E154" s="28"/>
      <c r="F154" s="91" t="str">
        <f t="shared" si="23"/>
        <v/>
      </c>
      <c r="G154" s="329"/>
      <c r="H154" s="318"/>
      <c r="I154" s="145" t="str">
        <f t="shared" si="18"/>
        <v/>
      </c>
      <c r="J154" s="127"/>
      <c r="K154" s="383"/>
      <c r="L154" s="383"/>
      <c r="M154" s="145" t="str">
        <f t="shared" si="19"/>
        <v/>
      </c>
      <c r="N154" s="127"/>
      <c r="O154" s="318"/>
      <c r="P154" s="145" t="str">
        <f t="shared" si="20"/>
        <v/>
      </c>
      <c r="Q154" s="126"/>
      <c r="R154" s="318"/>
      <c r="S154" s="145" t="str">
        <f t="shared" si="21"/>
        <v/>
      </c>
      <c r="T154" s="27"/>
      <c r="U154" s="318"/>
      <c r="V154" s="145" t="str">
        <f t="shared" si="22"/>
        <v/>
      </c>
      <c r="W154" s="369"/>
    </row>
    <row r="155" spans="1:23">
      <c r="A155" s="390"/>
      <c r="B155" s="359"/>
      <c r="C155" s="28"/>
      <c r="D155" s="28"/>
      <c r="E155" s="28"/>
      <c r="F155" s="91" t="str">
        <f t="shared" si="23"/>
        <v/>
      </c>
      <c r="G155" s="329"/>
      <c r="H155" s="318"/>
      <c r="I155" s="145" t="str">
        <f t="shared" si="18"/>
        <v/>
      </c>
      <c r="J155" s="127"/>
      <c r="K155" s="383"/>
      <c r="L155" s="383"/>
      <c r="M155" s="145" t="str">
        <f t="shared" si="19"/>
        <v/>
      </c>
      <c r="N155" s="127"/>
      <c r="O155" s="318"/>
      <c r="P155" s="145" t="str">
        <f t="shared" si="20"/>
        <v/>
      </c>
      <c r="Q155" s="127"/>
      <c r="R155" s="318"/>
      <c r="S155" s="145" t="str">
        <f t="shared" si="21"/>
        <v/>
      </c>
      <c r="T155" s="27"/>
      <c r="U155" s="318"/>
      <c r="V155" s="145" t="str">
        <f t="shared" si="22"/>
        <v/>
      </c>
      <c r="W155" s="369"/>
    </row>
    <row r="156" spans="1:23">
      <c r="A156" s="390"/>
      <c r="B156" s="359"/>
      <c r="C156" s="28"/>
      <c r="D156" s="28"/>
      <c r="E156" s="28"/>
      <c r="F156" s="91" t="str">
        <f t="shared" si="23"/>
        <v/>
      </c>
      <c r="G156" s="329"/>
      <c r="H156" s="318"/>
      <c r="I156" s="145" t="str">
        <f t="shared" si="18"/>
        <v/>
      </c>
      <c r="J156" s="127"/>
      <c r="K156" s="383"/>
      <c r="L156" s="383"/>
      <c r="M156" s="145" t="str">
        <f t="shared" si="19"/>
        <v/>
      </c>
      <c r="N156" s="127"/>
      <c r="O156" s="318"/>
      <c r="P156" s="145" t="str">
        <f t="shared" si="20"/>
        <v/>
      </c>
      <c r="Q156" s="127"/>
      <c r="R156" s="318"/>
      <c r="S156" s="145" t="str">
        <f t="shared" si="21"/>
        <v/>
      </c>
      <c r="T156" s="27"/>
      <c r="U156" s="318"/>
      <c r="V156" s="145" t="str">
        <f t="shared" si="22"/>
        <v/>
      </c>
      <c r="W156" s="369"/>
    </row>
    <row r="157" spans="1:23">
      <c r="A157" s="390"/>
      <c r="B157" s="359"/>
      <c r="C157" s="28"/>
      <c r="D157" s="28"/>
      <c r="E157" s="28"/>
      <c r="F157" s="91" t="str">
        <f t="shared" si="23"/>
        <v/>
      </c>
      <c r="G157" s="329"/>
      <c r="H157" s="318"/>
      <c r="I157" s="145" t="str">
        <f t="shared" si="18"/>
        <v/>
      </c>
      <c r="J157" s="127"/>
      <c r="K157" s="383"/>
      <c r="L157" s="383"/>
      <c r="M157" s="145" t="str">
        <f t="shared" si="19"/>
        <v/>
      </c>
      <c r="N157" s="127"/>
      <c r="O157" s="318"/>
      <c r="P157" s="145" t="str">
        <f t="shared" si="20"/>
        <v/>
      </c>
      <c r="Q157" s="127"/>
      <c r="R157" s="318"/>
      <c r="S157" s="145" t="str">
        <f t="shared" si="21"/>
        <v/>
      </c>
      <c r="T157" s="27"/>
      <c r="U157" s="318"/>
      <c r="V157" s="145" t="str">
        <f t="shared" si="22"/>
        <v/>
      </c>
      <c r="W157" s="369"/>
    </row>
    <row r="158" spans="1:23">
      <c r="A158" s="390"/>
      <c r="B158" s="359"/>
      <c r="C158" s="28"/>
      <c r="D158" s="28"/>
      <c r="E158" s="28"/>
      <c r="F158" s="91" t="str">
        <f t="shared" si="23"/>
        <v/>
      </c>
      <c r="G158" s="27"/>
      <c r="H158" s="318"/>
      <c r="I158" s="145" t="str">
        <f t="shared" si="18"/>
        <v/>
      </c>
      <c r="J158" s="127"/>
      <c r="K158" s="383"/>
      <c r="L158" s="383"/>
      <c r="M158" s="145" t="str">
        <f t="shared" si="19"/>
        <v/>
      </c>
      <c r="N158" s="127"/>
      <c r="O158" s="318"/>
      <c r="P158" s="145" t="str">
        <f t="shared" si="20"/>
        <v/>
      </c>
      <c r="Q158" s="127"/>
      <c r="R158" s="318"/>
      <c r="S158" s="145" t="str">
        <f t="shared" si="21"/>
        <v/>
      </c>
      <c r="T158" s="27"/>
      <c r="U158" s="318"/>
      <c r="V158" s="145" t="str">
        <f t="shared" si="22"/>
        <v/>
      </c>
      <c r="W158" s="369"/>
    </row>
    <row r="159" spans="1:23">
      <c r="A159" s="390"/>
      <c r="B159" s="359"/>
      <c r="C159" s="28"/>
      <c r="D159" s="28"/>
      <c r="E159" s="28"/>
      <c r="F159" s="91" t="str">
        <f t="shared" si="23"/>
        <v/>
      </c>
      <c r="G159" s="27"/>
      <c r="H159" s="318"/>
      <c r="I159" s="145" t="str">
        <f t="shared" si="18"/>
        <v/>
      </c>
      <c r="J159" s="127"/>
      <c r="K159" s="383"/>
      <c r="L159" s="383"/>
      <c r="M159" s="145" t="str">
        <f t="shared" si="19"/>
        <v/>
      </c>
      <c r="N159" s="127"/>
      <c r="O159" s="318"/>
      <c r="P159" s="145" t="str">
        <f t="shared" si="20"/>
        <v/>
      </c>
      <c r="Q159" s="127"/>
      <c r="R159" s="318"/>
      <c r="S159" s="145" t="str">
        <f t="shared" si="21"/>
        <v/>
      </c>
      <c r="T159" s="27"/>
      <c r="U159" s="318"/>
      <c r="V159" s="145" t="str">
        <f t="shared" si="22"/>
        <v/>
      </c>
      <c r="W159" s="369"/>
    </row>
    <row r="160" spans="1:23">
      <c r="A160" s="390"/>
      <c r="B160" s="359"/>
      <c r="C160" s="28"/>
      <c r="D160" s="28"/>
      <c r="E160" s="28"/>
      <c r="F160" s="91" t="str">
        <f t="shared" si="23"/>
        <v/>
      </c>
      <c r="G160" s="27"/>
      <c r="H160" s="318"/>
      <c r="I160" s="145" t="str">
        <f t="shared" si="18"/>
        <v/>
      </c>
      <c r="J160" s="127"/>
      <c r="K160" s="383"/>
      <c r="L160" s="383"/>
      <c r="M160" s="145" t="str">
        <f t="shared" si="19"/>
        <v/>
      </c>
      <c r="N160" s="127"/>
      <c r="O160" s="318"/>
      <c r="P160" s="145" t="str">
        <f t="shared" si="20"/>
        <v/>
      </c>
      <c r="Q160" s="127"/>
      <c r="R160" s="318"/>
      <c r="S160" s="145" t="str">
        <f t="shared" si="21"/>
        <v/>
      </c>
      <c r="T160" s="27"/>
      <c r="U160" s="318"/>
      <c r="V160" s="145" t="str">
        <f t="shared" si="22"/>
        <v/>
      </c>
      <c r="W160" s="369"/>
    </row>
    <row r="161" spans="1:23" hidden="1">
      <c r="A161" s="57"/>
      <c r="B161" s="359"/>
      <c r="C161" s="28"/>
      <c r="D161" s="28"/>
      <c r="E161" s="28"/>
      <c r="F161" s="27"/>
      <c r="G161" s="27"/>
      <c r="H161" s="44"/>
      <c r="I161" s="29"/>
      <c r="J161" s="27"/>
      <c r="K161" s="27"/>
      <c r="L161" s="27"/>
      <c r="M161" s="27"/>
      <c r="N161" s="27"/>
      <c r="O161" s="27"/>
      <c r="P161" s="27"/>
      <c r="Q161" s="27"/>
      <c r="R161" s="27"/>
      <c r="S161" s="27"/>
      <c r="T161" s="27"/>
      <c r="U161" s="27"/>
      <c r="V161" s="27"/>
      <c r="W161" s="27"/>
    </row>
    <row r="162" spans="1:23" ht="18.75" hidden="1" customHeight="1">
      <c r="B162" s="249"/>
      <c r="C162" s="249"/>
      <c r="D162" s="249"/>
      <c r="E162" s="249"/>
      <c r="F162" s="249"/>
      <c r="G162" s="249"/>
      <c r="H162" s="249"/>
      <c r="I162" s="249"/>
      <c r="J162" s="249"/>
      <c r="K162" s="249"/>
      <c r="L162" s="249"/>
      <c r="M162" s="249"/>
      <c r="N162" s="249"/>
      <c r="O162" s="249"/>
      <c r="P162" s="249"/>
      <c r="Q162" s="249"/>
      <c r="R162" s="249"/>
      <c r="S162" s="249"/>
      <c r="T162" s="249"/>
      <c r="U162" s="249"/>
      <c r="V162" s="249"/>
      <c r="W162" s="249"/>
    </row>
    <row r="163" spans="1:23" ht="18.75" hidden="1" customHeight="1">
      <c r="B163" s="249"/>
      <c r="C163" s="249"/>
      <c r="D163" s="249"/>
      <c r="E163" s="249"/>
      <c r="F163" s="249"/>
      <c r="G163" s="249"/>
      <c r="H163" s="249"/>
      <c r="I163" s="249"/>
      <c r="J163" s="249"/>
      <c r="K163" s="249"/>
      <c r="L163" s="249"/>
      <c r="M163" s="249"/>
      <c r="N163" s="249"/>
      <c r="O163" s="249"/>
      <c r="P163" s="249"/>
      <c r="Q163" s="249"/>
      <c r="R163" s="249"/>
      <c r="S163" s="249"/>
      <c r="T163" s="249"/>
      <c r="U163" s="249"/>
      <c r="V163" s="249"/>
      <c r="W163" s="249"/>
    </row>
    <row r="164" spans="1:23" ht="18.75" hidden="1" customHeight="1">
      <c r="B164" s="249"/>
      <c r="C164" s="249"/>
      <c r="D164" s="249"/>
      <c r="E164" s="249"/>
      <c r="F164" s="249"/>
      <c r="G164" s="249"/>
      <c r="H164" s="249"/>
      <c r="I164" s="249"/>
      <c r="J164" s="249"/>
      <c r="K164" s="249"/>
      <c r="L164" s="249"/>
      <c r="M164" s="249"/>
      <c r="N164" s="249"/>
      <c r="O164" s="249"/>
      <c r="P164" s="249"/>
      <c r="Q164" s="249"/>
      <c r="R164" s="249"/>
      <c r="S164" s="249"/>
      <c r="T164" s="249"/>
      <c r="U164" s="249"/>
      <c r="V164" s="249"/>
      <c r="W164" s="249"/>
    </row>
    <row r="165" spans="1:23" ht="21" hidden="1" customHeight="1">
      <c r="B165" s="249"/>
      <c r="C165" s="249"/>
      <c r="D165" s="249"/>
      <c r="E165" s="249"/>
      <c r="F165" s="249"/>
      <c r="G165" s="249"/>
      <c r="H165" s="249"/>
      <c r="I165" s="249"/>
      <c r="J165" s="249"/>
      <c r="K165" s="249"/>
      <c r="L165" s="249"/>
      <c r="M165" s="249"/>
      <c r="N165" s="249"/>
      <c r="O165" s="249"/>
      <c r="P165" s="249"/>
      <c r="Q165" s="249"/>
      <c r="R165" s="249"/>
      <c r="S165" s="249"/>
      <c r="T165" s="249"/>
      <c r="U165" s="249"/>
      <c r="V165" s="249"/>
      <c r="W165" s="249"/>
    </row>
    <row r="166" spans="1:23" ht="18.75" hidden="1" customHeight="1">
      <c r="B166" s="249"/>
      <c r="C166" s="249"/>
      <c r="D166" s="249"/>
      <c r="E166" s="249"/>
      <c r="F166" s="249"/>
      <c r="G166" s="249"/>
      <c r="H166" s="249"/>
      <c r="I166" s="249"/>
      <c r="J166" s="249"/>
      <c r="K166" s="249"/>
      <c r="L166" s="249"/>
      <c r="M166" s="249"/>
      <c r="N166" s="249"/>
      <c r="O166" s="249"/>
      <c r="P166" s="249"/>
      <c r="Q166" s="249"/>
      <c r="R166" s="249"/>
      <c r="S166" s="249"/>
      <c r="T166" s="249"/>
      <c r="U166" s="249"/>
      <c r="V166" s="249"/>
      <c r="W166" s="249"/>
    </row>
    <row r="167" spans="1:23" ht="18.75" hidden="1" customHeight="1">
      <c r="B167" s="249"/>
      <c r="C167" s="249"/>
      <c r="D167" s="249"/>
      <c r="E167" s="249"/>
      <c r="F167" s="249"/>
      <c r="G167" s="249"/>
      <c r="H167" s="249"/>
      <c r="I167" s="249"/>
      <c r="J167" s="249"/>
      <c r="K167" s="249"/>
      <c r="L167" s="249"/>
      <c r="M167" s="249"/>
      <c r="N167" s="249"/>
      <c r="O167" s="249"/>
      <c r="P167" s="249"/>
      <c r="Q167" s="249"/>
      <c r="R167" s="249"/>
      <c r="S167" s="249"/>
      <c r="T167" s="249"/>
      <c r="U167" s="249"/>
      <c r="V167" s="249"/>
      <c r="W167" s="249"/>
    </row>
    <row r="168" spans="1:23" ht="18.75" hidden="1" customHeight="1">
      <c r="B168" s="249"/>
      <c r="C168" s="249"/>
      <c r="D168" s="249"/>
      <c r="E168" s="249"/>
      <c r="F168" s="249"/>
      <c r="G168" s="249"/>
      <c r="H168" s="249"/>
      <c r="I168" s="249"/>
      <c r="J168" s="249"/>
      <c r="K168" s="249"/>
      <c r="L168" s="249"/>
      <c r="M168" s="249"/>
      <c r="N168" s="249"/>
      <c r="O168" s="249"/>
      <c r="P168" s="249"/>
      <c r="Q168" s="249"/>
      <c r="R168" s="249"/>
      <c r="S168" s="249"/>
      <c r="T168" s="249"/>
      <c r="U168" s="249"/>
      <c r="V168" s="249"/>
      <c r="W168" s="249"/>
    </row>
    <row r="169" spans="1:23" ht="18.75" hidden="1" customHeight="1">
      <c r="B169" s="249"/>
      <c r="C169" s="249"/>
      <c r="D169" s="249"/>
      <c r="E169" s="249"/>
      <c r="F169" s="249"/>
      <c r="G169" s="249"/>
      <c r="H169" s="249"/>
      <c r="I169" s="249"/>
      <c r="J169" s="249"/>
      <c r="K169" s="249"/>
      <c r="L169" s="249"/>
      <c r="M169" s="249"/>
      <c r="N169" s="249"/>
      <c r="O169" s="249"/>
      <c r="P169" s="249"/>
      <c r="Q169" s="249"/>
      <c r="R169" s="249"/>
      <c r="S169" s="249"/>
      <c r="T169" s="249"/>
      <c r="U169" s="249"/>
      <c r="V169" s="249"/>
      <c r="W169" s="249"/>
    </row>
    <row r="170" spans="1:23" ht="18.75" hidden="1" customHeight="1">
      <c r="B170" s="249"/>
      <c r="C170" s="249"/>
      <c r="D170" s="249"/>
      <c r="E170" s="249"/>
      <c r="F170" s="249"/>
      <c r="G170" s="249"/>
      <c r="H170" s="249"/>
      <c r="I170" s="249"/>
      <c r="J170" s="249"/>
      <c r="K170" s="249"/>
      <c r="L170" s="249"/>
      <c r="M170" s="249"/>
      <c r="N170" s="249"/>
      <c r="O170" s="249"/>
      <c r="P170" s="249"/>
      <c r="Q170" s="249"/>
      <c r="R170" s="249"/>
      <c r="S170" s="249"/>
      <c r="T170" s="249"/>
      <c r="U170" s="249"/>
      <c r="V170" s="249"/>
      <c r="W170" s="249"/>
    </row>
    <row r="171" spans="1:23" ht="18.75" hidden="1" customHeight="1">
      <c r="B171" s="249"/>
      <c r="C171" s="249"/>
      <c r="D171" s="249"/>
      <c r="E171" s="249"/>
      <c r="F171" s="249"/>
      <c r="G171" s="249"/>
      <c r="H171" s="249"/>
      <c r="I171" s="249"/>
      <c r="J171" s="249"/>
      <c r="K171" s="249"/>
      <c r="L171" s="249"/>
      <c r="M171" s="249"/>
      <c r="N171" s="249"/>
      <c r="O171" s="249"/>
      <c r="P171" s="249"/>
      <c r="Q171" s="249"/>
      <c r="R171" s="249"/>
      <c r="S171" s="249"/>
      <c r="T171" s="249"/>
      <c r="U171" s="249"/>
      <c r="V171" s="249"/>
      <c r="W171" s="249"/>
    </row>
    <row r="172" spans="1:23" ht="18.75" hidden="1" customHeight="1">
      <c r="B172" s="249"/>
      <c r="C172" s="249"/>
      <c r="D172" s="249"/>
      <c r="E172" s="249"/>
      <c r="F172" s="249"/>
      <c r="G172" s="249"/>
      <c r="H172" s="249"/>
      <c r="I172" s="249"/>
      <c r="J172" s="249"/>
      <c r="K172" s="249"/>
      <c r="L172" s="249"/>
      <c r="M172" s="249"/>
      <c r="N172" s="249"/>
      <c r="O172" s="249"/>
      <c r="P172" s="249"/>
      <c r="Q172" s="249"/>
      <c r="R172" s="249"/>
      <c r="S172" s="249"/>
      <c r="T172" s="249"/>
      <c r="U172" s="249"/>
      <c r="V172" s="249"/>
      <c r="W172" s="249"/>
    </row>
    <row r="173" spans="1:23" ht="20.25" hidden="1" customHeight="1">
      <c r="B173" s="249"/>
      <c r="C173" s="249"/>
      <c r="D173" s="249"/>
      <c r="E173" s="249"/>
      <c r="F173" s="249"/>
      <c r="G173" s="249"/>
      <c r="H173" s="249"/>
      <c r="I173" s="249"/>
      <c r="J173" s="249"/>
      <c r="K173" s="249"/>
      <c r="L173" s="249"/>
      <c r="M173" s="249"/>
      <c r="N173" s="249"/>
      <c r="O173" s="249"/>
      <c r="P173" s="249"/>
      <c r="Q173" s="249"/>
      <c r="R173" s="249"/>
      <c r="S173" s="249"/>
      <c r="T173" s="249"/>
      <c r="U173" s="249"/>
      <c r="V173" s="249"/>
      <c r="W173" s="249"/>
    </row>
    <row r="174" spans="1:23" ht="20.25" hidden="1" customHeight="1">
      <c r="B174" s="249"/>
      <c r="C174" s="249"/>
      <c r="D174" s="249"/>
      <c r="E174" s="249"/>
      <c r="F174" s="249"/>
      <c r="G174" s="249"/>
      <c r="H174" s="249"/>
      <c r="I174" s="249"/>
      <c r="J174" s="249"/>
      <c r="K174" s="249"/>
      <c r="L174" s="249"/>
      <c r="M174" s="249"/>
      <c r="N174" s="249"/>
      <c r="O174" s="249"/>
      <c r="P174" s="249"/>
      <c r="Q174" s="249"/>
      <c r="R174" s="249"/>
      <c r="S174" s="249"/>
      <c r="T174" s="249"/>
      <c r="U174" s="249"/>
      <c r="V174" s="249"/>
      <c r="W174" s="249"/>
    </row>
    <row r="175" spans="1:23" ht="20.25" hidden="1" customHeight="1">
      <c r="B175" s="249"/>
      <c r="C175" s="249"/>
      <c r="D175" s="249"/>
      <c r="E175" s="249"/>
      <c r="F175" s="249"/>
      <c r="G175" s="249"/>
      <c r="H175" s="249"/>
      <c r="I175" s="249"/>
      <c r="J175" s="249"/>
      <c r="K175" s="249"/>
      <c r="L175" s="249"/>
      <c r="M175" s="249"/>
      <c r="N175" s="249"/>
      <c r="O175" s="249"/>
      <c r="P175" s="249"/>
      <c r="Q175" s="249"/>
      <c r="R175" s="249"/>
      <c r="S175" s="249"/>
      <c r="T175" s="249"/>
      <c r="U175" s="249"/>
      <c r="V175" s="249"/>
      <c r="W175" s="249"/>
    </row>
    <row r="176" spans="1:23" ht="18.75" hidden="1" customHeight="1">
      <c r="B176" s="249"/>
      <c r="C176" s="249"/>
      <c r="D176" s="249"/>
      <c r="E176" s="249"/>
      <c r="F176" s="249"/>
      <c r="G176" s="249"/>
      <c r="H176" s="249"/>
      <c r="I176" s="249"/>
      <c r="J176" s="249"/>
      <c r="K176" s="249"/>
      <c r="L176" s="249"/>
      <c r="M176" s="249"/>
      <c r="N176" s="249"/>
      <c r="O176" s="249"/>
      <c r="P176" s="249"/>
      <c r="Q176" s="249"/>
      <c r="R176" s="249"/>
      <c r="S176" s="249"/>
      <c r="T176" s="249"/>
      <c r="U176" s="249"/>
      <c r="V176" s="249"/>
      <c r="W176" s="249"/>
    </row>
    <row r="177" spans="2:23" ht="18.75" hidden="1" customHeight="1">
      <c r="B177" s="249"/>
      <c r="C177" s="249"/>
      <c r="D177" s="249"/>
      <c r="E177" s="249"/>
      <c r="F177" s="249"/>
      <c r="G177" s="249"/>
      <c r="H177" s="249"/>
      <c r="I177" s="249"/>
      <c r="J177" s="249"/>
      <c r="K177" s="249"/>
      <c r="L177" s="249"/>
      <c r="M177" s="249"/>
      <c r="N177" s="249"/>
      <c r="O177" s="249"/>
      <c r="P177" s="249"/>
      <c r="Q177" s="249"/>
      <c r="R177" s="249"/>
      <c r="S177" s="249"/>
      <c r="T177" s="249"/>
      <c r="U177" s="249"/>
      <c r="V177" s="249"/>
      <c r="W177" s="249"/>
    </row>
    <row r="178" spans="2:23" ht="18.75" hidden="1" customHeight="1">
      <c r="B178" s="249"/>
      <c r="C178" s="249"/>
      <c r="D178" s="249"/>
      <c r="E178" s="249"/>
      <c r="F178" s="249"/>
      <c r="G178" s="249"/>
      <c r="H178" s="249"/>
      <c r="I178" s="249"/>
      <c r="J178" s="249"/>
      <c r="K178" s="249"/>
      <c r="L178" s="249"/>
      <c r="M178" s="249"/>
      <c r="N178" s="249"/>
      <c r="O178" s="249"/>
      <c r="P178" s="249"/>
      <c r="Q178" s="249"/>
      <c r="R178" s="249"/>
      <c r="S178" s="249"/>
      <c r="T178" s="249"/>
      <c r="U178" s="249"/>
      <c r="V178" s="249"/>
      <c r="W178" s="249"/>
    </row>
    <row r="179" spans="2:23" ht="18.75" hidden="1" customHeight="1">
      <c r="B179" s="249"/>
      <c r="C179" s="249"/>
      <c r="D179" s="249"/>
      <c r="E179" s="249"/>
      <c r="F179" s="249"/>
      <c r="G179" s="249"/>
      <c r="H179" s="249"/>
      <c r="I179" s="249"/>
      <c r="J179" s="249"/>
      <c r="K179" s="249"/>
      <c r="L179" s="249"/>
      <c r="M179" s="249"/>
      <c r="N179" s="249"/>
      <c r="O179" s="249"/>
      <c r="P179" s="249"/>
      <c r="Q179" s="249"/>
      <c r="R179" s="249"/>
      <c r="S179" s="249"/>
      <c r="T179" s="249"/>
      <c r="U179" s="249"/>
      <c r="V179" s="249"/>
      <c r="W179" s="249"/>
    </row>
    <row r="180" spans="2:23" ht="18.75" hidden="1" customHeight="1">
      <c r="B180" s="249"/>
      <c r="C180" s="249"/>
      <c r="D180" s="249"/>
      <c r="E180" s="249"/>
      <c r="F180" s="249"/>
      <c r="G180" s="249"/>
      <c r="H180" s="249"/>
      <c r="I180" s="249"/>
      <c r="J180" s="249"/>
      <c r="K180" s="249"/>
      <c r="L180" s="249"/>
      <c r="M180" s="249"/>
      <c r="N180" s="249"/>
      <c r="O180" s="249"/>
      <c r="P180" s="249"/>
      <c r="Q180" s="249"/>
      <c r="R180" s="249"/>
      <c r="S180" s="249"/>
      <c r="T180" s="249"/>
      <c r="U180" s="249"/>
      <c r="V180" s="249"/>
      <c r="W180" s="249"/>
    </row>
    <row r="181" spans="2:23" ht="18.75" hidden="1" customHeight="1">
      <c r="B181" s="249"/>
      <c r="C181" s="249"/>
      <c r="D181" s="249"/>
      <c r="E181" s="249"/>
      <c r="F181" s="249"/>
      <c r="G181" s="249"/>
      <c r="H181" s="249"/>
      <c r="I181" s="249"/>
      <c r="J181" s="249"/>
      <c r="K181" s="249"/>
      <c r="L181" s="249"/>
      <c r="M181" s="249"/>
      <c r="N181" s="249"/>
      <c r="O181" s="249"/>
      <c r="P181" s="249"/>
      <c r="Q181" s="249"/>
      <c r="R181" s="249"/>
      <c r="S181" s="249"/>
      <c r="T181" s="249"/>
      <c r="U181" s="249"/>
      <c r="V181" s="249"/>
      <c r="W181" s="249"/>
    </row>
    <row r="182" spans="2:23" ht="18.75" hidden="1" customHeight="1">
      <c r="B182" s="249"/>
      <c r="C182" s="249"/>
      <c r="D182" s="249"/>
      <c r="E182" s="249"/>
      <c r="F182" s="249"/>
      <c r="G182" s="249"/>
      <c r="H182" s="249"/>
      <c r="I182" s="249"/>
      <c r="J182" s="249"/>
      <c r="K182" s="249"/>
      <c r="L182" s="249"/>
      <c r="M182" s="249"/>
      <c r="N182" s="249"/>
      <c r="O182" s="249"/>
      <c r="P182" s="249"/>
      <c r="Q182" s="249"/>
      <c r="R182" s="249"/>
      <c r="S182" s="249"/>
      <c r="T182" s="249"/>
      <c r="U182" s="249"/>
      <c r="V182" s="249"/>
      <c r="W182" s="249"/>
    </row>
    <row r="183" spans="2:23" ht="18.75" hidden="1" customHeight="1">
      <c r="B183" s="249"/>
      <c r="C183" s="249"/>
      <c r="D183" s="249"/>
      <c r="E183" s="249"/>
      <c r="F183" s="249"/>
      <c r="G183" s="249"/>
      <c r="H183" s="249"/>
      <c r="I183" s="249"/>
      <c r="J183" s="249"/>
      <c r="K183" s="249"/>
      <c r="L183" s="249"/>
      <c r="M183" s="249"/>
      <c r="N183" s="249"/>
      <c r="O183" s="249"/>
      <c r="P183" s="249"/>
      <c r="Q183" s="249"/>
      <c r="R183" s="249"/>
      <c r="S183" s="249"/>
      <c r="T183" s="249"/>
      <c r="U183" s="249"/>
      <c r="V183" s="249"/>
      <c r="W183" s="249"/>
    </row>
    <row r="184" spans="2:23" ht="18.75" hidden="1" customHeight="1">
      <c r="B184" s="249"/>
      <c r="C184" s="249"/>
      <c r="D184" s="249"/>
      <c r="E184" s="249"/>
      <c r="F184" s="249"/>
      <c r="G184" s="249"/>
      <c r="H184" s="249"/>
      <c r="I184" s="249"/>
      <c r="J184" s="249"/>
      <c r="K184" s="249"/>
      <c r="L184" s="249"/>
      <c r="M184" s="249"/>
      <c r="N184" s="249"/>
      <c r="O184" s="249"/>
      <c r="P184" s="249"/>
      <c r="Q184" s="249"/>
      <c r="R184" s="249"/>
      <c r="S184" s="249"/>
      <c r="T184" s="249"/>
      <c r="U184" s="249"/>
      <c r="V184" s="249"/>
      <c r="W184" s="249"/>
    </row>
    <row r="185" spans="2:23" ht="18.75" hidden="1" customHeight="1">
      <c r="B185" s="249"/>
      <c r="C185" s="249"/>
      <c r="D185" s="249"/>
      <c r="E185" s="249"/>
      <c r="F185" s="249"/>
      <c r="G185" s="249"/>
      <c r="H185" s="249"/>
      <c r="I185" s="249"/>
      <c r="J185" s="249"/>
      <c r="K185" s="249"/>
      <c r="L185" s="249"/>
      <c r="M185" s="249"/>
      <c r="N185" s="249"/>
      <c r="O185" s="249"/>
      <c r="P185" s="249"/>
      <c r="Q185" s="249"/>
      <c r="R185" s="249"/>
      <c r="S185" s="249"/>
      <c r="T185" s="249"/>
      <c r="U185" s="249"/>
      <c r="V185" s="249"/>
      <c r="W185" s="249"/>
    </row>
    <row r="186" spans="2:23" ht="18.75" hidden="1" customHeight="1">
      <c r="B186" s="249"/>
      <c r="C186" s="249"/>
      <c r="D186" s="249"/>
      <c r="E186" s="249"/>
      <c r="F186" s="249"/>
      <c r="G186" s="249"/>
      <c r="H186" s="249"/>
      <c r="I186" s="249"/>
      <c r="J186" s="249"/>
      <c r="K186" s="249"/>
      <c r="L186" s="249"/>
      <c r="M186" s="249"/>
      <c r="N186" s="249"/>
      <c r="O186" s="249"/>
      <c r="P186" s="249"/>
      <c r="Q186" s="249"/>
      <c r="R186" s="249"/>
      <c r="S186" s="249"/>
      <c r="T186" s="249"/>
      <c r="U186" s="249"/>
      <c r="V186" s="249"/>
      <c r="W186" s="249"/>
    </row>
    <row r="187" spans="2:23" ht="18.75" hidden="1" customHeight="1">
      <c r="B187" s="249"/>
      <c r="C187" s="249"/>
      <c r="D187" s="249"/>
      <c r="E187" s="249"/>
      <c r="F187" s="249"/>
      <c r="G187" s="249"/>
      <c r="H187" s="249"/>
      <c r="I187" s="249"/>
      <c r="J187" s="249"/>
      <c r="K187" s="249"/>
      <c r="L187" s="249"/>
      <c r="M187" s="249"/>
      <c r="N187" s="249"/>
      <c r="O187" s="249"/>
      <c r="P187" s="249"/>
      <c r="Q187" s="249"/>
      <c r="R187" s="249"/>
      <c r="S187" s="249"/>
      <c r="T187" s="249"/>
      <c r="U187" s="249"/>
      <c r="V187" s="249"/>
      <c r="W187" s="249"/>
    </row>
    <row r="188" spans="2:23" ht="18.75" hidden="1" customHeight="1">
      <c r="B188" s="249"/>
      <c r="C188" s="249"/>
      <c r="D188" s="249"/>
      <c r="E188" s="249"/>
      <c r="F188" s="249"/>
      <c r="G188" s="249"/>
      <c r="H188" s="249"/>
      <c r="I188" s="249"/>
      <c r="J188" s="249"/>
      <c r="K188" s="249"/>
      <c r="L188" s="249"/>
      <c r="M188" s="249"/>
      <c r="N188" s="249"/>
      <c r="O188" s="249"/>
      <c r="P188" s="249"/>
      <c r="Q188" s="249"/>
      <c r="R188" s="249"/>
      <c r="S188" s="249"/>
      <c r="T188" s="249"/>
      <c r="U188" s="249"/>
      <c r="V188" s="249"/>
      <c r="W188" s="249"/>
    </row>
    <row r="189" spans="2:23" ht="18.75" hidden="1" customHeight="1">
      <c r="B189" s="249"/>
      <c r="C189" s="249"/>
      <c r="D189" s="249"/>
      <c r="E189" s="249"/>
      <c r="F189" s="249"/>
      <c r="G189" s="249"/>
      <c r="H189" s="249"/>
      <c r="I189" s="249"/>
      <c r="J189" s="249"/>
      <c r="K189" s="249"/>
      <c r="L189" s="249"/>
      <c r="M189" s="249"/>
      <c r="N189" s="249"/>
      <c r="O189" s="249"/>
      <c r="P189" s="249"/>
      <c r="Q189" s="249"/>
      <c r="R189" s="249"/>
      <c r="S189" s="249"/>
      <c r="T189" s="249"/>
      <c r="U189" s="249"/>
      <c r="V189" s="249"/>
      <c r="W189" s="249"/>
    </row>
    <row r="190" spans="2:23" ht="18.75" hidden="1" customHeight="1">
      <c r="B190" s="249"/>
      <c r="C190" s="249"/>
      <c r="D190" s="249"/>
      <c r="E190" s="249"/>
      <c r="F190" s="249"/>
      <c r="G190" s="249"/>
      <c r="H190" s="249"/>
      <c r="I190" s="249"/>
      <c r="J190" s="249"/>
      <c r="K190" s="249"/>
      <c r="L190" s="249"/>
      <c r="M190" s="249"/>
      <c r="N190" s="249"/>
      <c r="O190" s="249"/>
      <c r="P190" s="249"/>
      <c r="Q190" s="249"/>
      <c r="R190" s="249"/>
      <c r="S190" s="249"/>
      <c r="T190" s="249"/>
      <c r="U190" s="249"/>
      <c r="V190" s="249"/>
      <c r="W190" s="249"/>
    </row>
    <row r="191" spans="2:23" ht="18.75" hidden="1" customHeight="1">
      <c r="B191" s="249"/>
      <c r="C191" s="249"/>
      <c r="D191" s="249"/>
      <c r="E191" s="249"/>
      <c r="F191" s="249"/>
      <c r="G191" s="249"/>
      <c r="H191" s="249"/>
      <c r="I191" s="249"/>
      <c r="J191" s="249"/>
      <c r="K191" s="249"/>
      <c r="L191" s="249"/>
      <c r="M191" s="249"/>
      <c r="N191" s="249"/>
      <c r="O191" s="249"/>
      <c r="P191" s="249"/>
      <c r="Q191" s="249"/>
      <c r="R191" s="249"/>
      <c r="S191" s="249"/>
      <c r="T191" s="249"/>
      <c r="U191" s="249"/>
      <c r="V191" s="249"/>
      <c r="W191" s="249"/>
    </row>
    <row r="192" spans="2:23" ht="18.75" hidden="1" customHeight="1">
      <c r="B192" s="249"/>
      <c r="C192" s="249"/>
      <c r="D192" s="249"/>
      <c r="E192" s="249"/>
      <c r="F192" s="249"/>
      <c r="G192" s="249"/>
      <c r="H192" s="249"/>
      <c r="I192" s="249"/>
      <c r="J192" s="249"/>
      <c r="K192" s="249"/>
      <c r="L192" s="249"/>
      <c r="M192" s="249"/>
      <c r="N192" s="249"/>
      <c r="O192" s="249"/>
      <c r="P192" s="249"/>
      <c r="Q192" s="249"/>
      <c r="R192" s="249"/>
      <c r="S192" s="249"/>
      <c r="T192" s="249"/>
      <c r="U192" s="249"/>
      <c r="V192" s="249"/>
      <c r="W192" s="249"/>
    </row>
    <row r="193" spans="2:23" ht="18.75" hidden="1" customHeight="1">
      <c r="B193" s="249"/>
      <c r="C193" s="249"/>
      <c r="D193" s="249"/>
      <c r="E193" s="249"/>
      <c r="F193" s="249"/>
      <c r="G193" s="249"/>
      <c r="H193" s="249"/>
      <c r="I193" s="249"/>
      <c r="J193" s="249"/>
      <c r="K193" s="249"/>
      <c r="L193" s="249"/>
      <c r="M193" s="249"/>
      <c r="N193" s="249"/>
      <c r="O193" s="249"/>
      <c r="P193" s="249"/>
      <c r="Q193" s="249"/>
      <c r="R193" s="249"/>
      <c r="S193" s="249"/>
      <c r="T193" s="249"/>
      <c r="U193" s="249"/>
      <c r="V193" s="249"/>
      <c r="W193" s="249"/>
    </row>
    <row r="194" spans="2:23" ht="18.75" hidden="1" customHeight="1">
      <c r="B194" s="249"/>
      <c r="C194" s="249"/>
      <c r="D194" s="249"/>
      <c r="E194" s="249"/>
      <c r="F194" s="249"/>
      <c r="G194" s="249"/>
      <c r="H194" s="249"/>
      <c r="I194" s="249"/>
      <c r="J194" s="249"/>
      <c r="K194" s="249"/>
      <c r="L194" s="249"/>
      <c r="M194" s="249"/>
      <c r="N194" s="249"/>
      <c r="O194" s="249"/>
      <c r="P194" s="249"/>
      <c r="Q194" s="249"/>
      <c r="R194" s="249"/>
      <c r="S194" s="249"/>
      <c r="T194" s="249"/>
      <c r="U194" s="249"/>
      <c r="V194" s="249"/>
      <c r="W194" s="249"/>
    </row>
    <row r="195" spans="2:23" ht="18.75" hidden="1" customHeight="1">
      <c r="B195" s="249"/>
      <c r="C195" s="249"/>
      <c r="D195" s="249"/>
      <c r="E195" s="249"/>
      <c r="F195" s="249"/>
      <c r="G195" s="249"/>
      <c r="H195" s="249"/>
      <c r="I195" s="249"/>
      <c r="J195" s="249"/>
      <c r="K195" s="249"/>
      <c r="L195" s="249"/>
      <c r="M195" s="249"/>
      <c r="N195" s="249"/>
      <c r="O195" s="249"/>
      <c r="P195" s="249"/>
      <c r="Q195" s="249"/>
      <c r="R195" s="249"/>
      <c r="S195" s="249"/>
      <c r="T195" s="249"/>
      <c r="U195" s="249"/>
      <c r="V195" s="249"/>
      <c r="W195" s="249"/>
    </row>
    <row r="196" spans="2:23" ht="18.75" hidden="1" customHeight="1">
      <c r="B196" s="249"/>
      <c r="C196" s="249"/>
      <c r="D196" s="249"/>
      <c r="E196" s="249"/>
      <c r="F196" s="249"/>
      <c r="G196" s="249"/>
      <c r="H196" s="249"/>
      <c r="I196" s="249"/>
      <c r="J196" s="249"/>
      <c r="K196" s="249"/>
      <c r="L196" s="249"/>
      <c r="M196" s="249"/>
      <c r="N196" s="249"/>
      <c r="O196" s="249"/>
      <c r="P196" s="249"/>
      <c r="Q196" s="249"/>
      <c r="R196" s="249"/>
      <c r="S196" s="249"/>
      <c r="T196" s="249"/>
      <c r="U196" s="249"/>
      <c r="V196" s="249"/>
      <c r="W196" s="249"/>
    </row>
    <row r="197" spans="2:23" ht="18.75" hidden="1" customHeight="1">
      <c r="B197" s="249"/>
      <c r="C197" s="249"/>
      <c r="D197" s="249"/>
      <c r="E197" s="249"/>
      <c r="F197" s="249"/>
      <c r="G197" s="249"/>
      <c r="H197" s="249"/>
      <c r="I197" s="249"/>
      <c r="J197" s="249"/>
      <c r="K197" s="249"/>
      <c r="L197" s="249"/>
      <c r="M197" s="249"/>
      <c r="N197" s="249"/>
      <c r="O197" s="249"/>
      <c r="P197" s="249"/>
      <c r="Q197" s="249"/>
      <c r="R197" s="249"/>
      <c r="S197" s="249"/>
      <c r="T197" s="249"/>
      <c r="U197" s="249"/>
      <c r="V197" s="249"/>
      <c r="W197" s="249"/>
    </row>
    <row r="198" spans="2:23" ht="18.75" hidden="1" customHeight="1">
      <c r="B198" s="249"/>
      <c r="C198" s="249"/>
      <c r="D198" s="249"/>
      <c r="E198" s="249"/>
      <c r="F198" s="249"/>
      <c r="G198" s="249"/>
      <c r="H198" s="249"/>
      <c r="I198" s="249"/>
      <c r="J198" s="249"/>
      <c r="K198" s="249"/>
      <c r="L198" s="249"/>
      <c r="M198" s="249"/>
      <c r="N198" s="249"/>
      <c r="O198" s="249"/>
      <c r="P198" s="249"/>
      <c r="Q198" s="249"/>
      <c r="R198" s="249"/>
      <c r="S198" s="249"/>
      <c r="T198" s="249"/>
      <c r="U198" s="249"/>
      <c r="V198" s="249"/>
      <c r="W198" s="249"/>
    </row>
    <row r="199" spans="2:23" ht="18.75" hidden="1" customHeight="1">
      <c r="B199" s="249"/>
      <c r="C199" s="249"/>
      <c r="D199" s="249"/>
      <c r="E199" s="249"/>
      <c r="F199" s="249"/>
      <c r="G199" s="249"/>
      <c r="H199" s="249"/>
      <c r="I199" s="249"/>
      <c r="J199" s="249"/>
      <c r="K199" s="249"/>
      <c r="L199" s="249"/>
      <c r="M199" s="249"/>
      <c r="N199" s="249"/>
      <c r="O199" s="249"/>
      <c r="P199" s="249"/>
      <c r="Q199" s="249"/>
      <c r="R199" s="249"/>
      <c r="S199" s="249"/>
      <c r="T199" s="249"/>
      <c r="U199" s="249"/>
      <c r="V199" s="249"/>
      <c r="W199" s="249"/>
    </row>
    <row r="200" spans="2:23" ht="18.75" hidden="1" customHeight="1">
      <c r="B200" s="249"/>
      <c r="C200" s="249"/>
      <c r="D200" s="249"/>
      <c r="E200" s="249"/>
      <c r="F200" s="249"/>
      <c r="G200" s="249"/>
      <c r="H200" s="249"/>
      <c r="I200" s="249"/>
      <c r="J200" s="249"/>
      <c r="K200" s="249"/>
      <c r="L200" s="249"/>
      <c r="M200" s="249"/>
      <c r="N200" s="249"/>
      <c r="O200" s="249"/>
      <c r="P200" s="249"/>
      <c r="Q200" s="249"/>
      <c r="R200" s="249"/>
      <c r="S200" s="249"/>
      <c r="T200" s="249"/>
      <c r="U200" s="249"/>
      <c r="V200" s="249"/>
      <c r="W200" s="249"/>
    </row>
    <row r="201" spans="2:23" ht="18.75" hidden="1" customHeight="1">
      <c r="B201" s="249"/>
      <c r="C201" s="249"/>
      <c r="D201" s="249"/>
      <c r="E201" s="249"/>
      <c r="F201" s="249"/>
      <c r="G201" s="249"/>
      <c r="H201" s="249"/>
      <c r="I201" s="249"/>
      <c r="J201" s="249"/>
      <c r="K201" s="249"/>
      <c r="L201" s="249"/>
      <c r="M201" s="249"/>
      <c r="N201" s="249"/>
      <c r="O201" s="249"/>
      <c r="P201" s="249"/>
      <c r="Q201" s="249"/>
      <c r="R201" s="249"/>
      <c r="S201" s="249"/>
      <c r="T201" s="249"/>
      <c r="U201" s="249"/>
      <c r="V201" s="249"/>
      <c r="W201" s="249"/>
    </row>
    <row r="202" spans="2:23" ht="18.75" hidden="1" customHeight="1">
      <c r="B202" s="249"/>
      <c r="C202" s="249"/>
      <c r="D202" s="249"/>
      <c r="E202" s="249"/>
      <c r="F202" s="249"/>
      <c r="G202" s="249"/>
      <c r="H202" s="249"/>
      <c r="I202" s="249"/>
      <c r="J202" s="249"/>
      <c r="K202" s="249"/>
      <c r="L202" s="249"/>
      <c r="M202" s="249"/>
      <c r="N202" s="249"/>
      <c r="O202" s="249"/>
      <c r="P202" s="249"/>
      <c r="Q202" s="249"/>
      <c r="R202" s="249"/>
      <c r="S202" s="249"/>
      <c r="T202" s="249"/>
      <c r="U202" s="249"/>
      <c r="V202" s="249"/>
      <c r="W202" s="249"/>
    </row>
    <row r="203" spans="2:23" ht="18.75" hidden="1" customHeight="1">
      <c r="B203" s="249"/>
      <c r="C203" s="249"/>
      <c r="D203" s="249"/>
      <c r="E203" s="249"/>
      <c r="F203" s="249"/>
      <c r="G203" s="249"/>
      <c r="H203" s="249"/>
      <c r="I203" s="249"/>
      <c r="J203" s="249"/>
      <c r="K203" s="249"/>
      <c r="L203" s="249"/>
      <c r="M203" s="249"/>
      <c r="N203" s="249"/>
      <c r="O203" s="249"/>
      <c r="P203" s="249"/>
      <c r="Q203" s="249"/>
      <c r="R203" s="249"/>
      <c r="S203" s="249"/>
      <c r="T203" s="249"/>
      <c r="U203" s="249"/>
      <c r="V203" s="249"/>
      <c r="W203" s="249"/>
    </row>
    <row r="204" spans="2:23" ht="18.75" hidden="1" customHeight="1">
      <c r="B204" s="249"/>
      <c r="C204" s="249"/>
      <c r="D204" s="249"/>
      <c r="E204" s="249"/>
      <c r="F204" s="249"/>
      <c r="G204" s="249"/>
      <c r="H204" s="249"/>
      <c r="I204" s="249"/>
      <c r="J204" s="249"/>
      <c r="K204" s="249"/>
      <c r="L204" s="249"/>
      <c r="M204" s="249"/>
      <c r="N204" s="249"/>
      <c r="O204" s="249"/>
      <c r="P204" s="249"/>
      <c r="Q204" s="249"/>
      <c r="R204" s="249"/>
      <c r="S204" s="249"/>
      <c r="T204" s="249"/>
      <c r="U204" s="249"/>
      <c r="V204" s="249"/>
      <c r="W204" s="249"/>
    </row>
    <row r="205" spans="2:23" ht="18.75" hidden="1" customHeight="1">
      <c r="B205" s="249"/>
      <c r="C205" s="249"/>
      <c r="D205" s="249"/>
      <c r="E205" s="249"/>
      <c r="F205" s="249"/>
      <c r="G205" s="249"/>
      <c r="H205" s="249"/>
      <c r="I205" s="249"/>
      <c r="J205" s="249"/>
      <c r="K205" s="249"/>
      <c r="L205" s="249"/>
      <c r="M205" s="249"/>
      <c r="N205" s="249"/>
      <c r="O205" s="249"/>
      <c r="P205" s="249"/>
      <c r="Q205" s="249"/>
      <c r="R205" s="249"/>
      <c r="S205" s="249"/>
      <c r="T205" s="249"/>
      <c r="U205" s="249"/>
      <c r="V205" s="249"/>
      <c r="W205" s="249"/>
    </row>
    <row r="206" spans="2:23" ht="18.75" hidden="1" customHeight="1">
      <c r="B206" s="249"/>
      <c r="C206" s="249"/>
      <c r="D206" s="249"/>
      <c r="E206" s="249"/>
      <c r="F206" s="249"/>
      <c r="G206" s="249"/>
      <c r="H206" s="249"/>
      <c r="I206" s="249"/>
      <c r="J206" s="249"/>
      <c r="K206" s="249"/>
      <c r="L206" s="249"/>
      <c r="M206" s="249"/>
      <c r="N206" s="249"/>
      <c r="O206" s="249"/>
      <c r="P206" s="249"/>
      <c r="Q206" s="249"/>
      <c r="R206" s="249"/>
      <c r="S206" s="249"/>
      <c r="T206" s="249"/>
      <c r="U206" s="249"/>
      <c r="V206" s="249"/>
      <c r="W206" s="249"/>
    </row>
    <row r="207" spans="2:23" ht="18.75" hidden="1" customHeight="1">
      <c r="B207" s="249"/>
      <c r="C207" s="249"/>
      <c r="D207" s="249"/>
      <c r="E207" s="249"/>
      <c r="F207" s="249"/>
      <c r="G207" s="249"/>
      <c r="H207" s="249"/>
      <c r="I207" s="249"/>
      <c r="J207" s="249"/>
      <c r="K207" s="249"/>
      <c r="L207" s="249"/>
      <c r="M207" s="249"/>
      <c r="N207" s="249"/>
      <c r="O207" s="249"/>
      <c r="P207" s="249"/>
      <c r="Q207" s="249"/>
      <c r="R207" s="249"/>
      <c r="S207" s="249"/>
      <c r="T207" s="249"/>
      <c r="U207" s="249"/>
      <c r="V207" s="249"/>
      <c r="W207" s="249"/>
    </row>
    <row r="208" spans="2:23" ht="18.75" hidden="1" customHeight="1">
      <c r="B208" s="249"/>
      <c r="C208" s="249"/>
      <c r="D208" s="249"/>
      <c r="E208" s="249"/>
      <c r="F208" s="249"/>
      <c r="G208" s="249"/>
      <c r="H208" s="249"/>
      <c r="I208" s="249"/>
      <c r="J208" s="249"/>
      <c r="K208" s="249"/>
      <c r="L208" s="249"/>
      <c r="M208" s="249"/>
      <c r="N208" s="249"/>
      <c r="O208" s="249"/>
      <c r="P208" s="249"/>
      <c r="Q208" s="249"/>
      <c r="R208" s="249"/>
      <c r="S208" s="249"/>
      <c r="T208" s="249"/>
      <c r="U208" s="249"/>
      <c r="V208" s="249"/>
      <c r="W208" s="249"/>
    </row>
    <row r="209" spans="2:23" ht="18.75" hidden="1" customHeight="1">
      <c r="B209" s="249"/>
      <c r="C209" s="249"/>
      <c r="D209" s="249"/>
      <c r="E209" s="249"/>
      <c r="F209" s="249"/>
      <c r="G209" s="249"/>
      <c r="H209" s="249"/>
      <c r="I209" s="249"/>
      <c r="J209" s="249"/>
      <c r="K209" s="249"/>
      <c r="L209" s="249"/>
      <c r="M209" s="249"/>
      <c r="N209" s="249"/>
      <c r="O209" s="249"/>
      <c r="P209" s="249"/>
      <c r="Q209" s="249"/>
      <c r="R209" s="249"/>
      <c r="S209" s="249"/>
      <c r="T209" s="249"/>
      <c r="U209" s="249"/>
      <c r="V209" s="249"/>
      <c r="W209" s="249"/>
    </row>
    <row r="210" spans="2:23" ht="18.75" hidden="1" customHeight="1">
      <c r="B210" s="249"/>
      <c r="C210" s="249"/>
      <c r="D210" s="249"/>
      <c r="E210" s="249"/>
      <c r="F210" s="249"/>
      <c r="G210" s="249"/>
      <c r="H210" s="249"/>
      <c r="I210" s="249"/>
      <c r="J210" s="249"/>
      <c r="K210" s="249"/>
      <c r="L210" s="249"/>
      <c r="M210" s="249"/>
      <c r="N210" s="249"/>
      <c r="O210" s="249"/>
      <c r="P210" s="249"/>
      <c r="Q210" s="249"/>
      <c r="R210" s="249"/>
      <c r="S210" s="249"/>
      <c r="T210" s="249"/>
      <c r="U210" s="249"/>
      <c r="V210" s="249"/>
      <c r="W210" s="249"/>
    </row>
    <row r="211" spans="2:23" ht="18.75" hidden="1" customHeight="1">
      <c r="B211" s="249"/>
      <c r="C211" s="249"/>
      <c r="D211" s="249"/>
      <c r="E211" s="249"/>
      <c r="F211" s="249"/>
      <c r="G211" s="249"/>
      <c r="H211" s="249"/>
      <c r="I211" s="249"/>
      <c r="J211" s="249"/>
      <c r="K211" s="249"/>
      <c r="L211" s="249"/>
      <c r="M211" s="249"/>
      <c r="N211" s="249"/>
      <c r="O211" s="249"/>
      <c r="P211" s="249"/>
      <c r="Q211" s="249"/>
      <c r="R211" s="249"/>
      <c r="S211" s="249"/>
      <c r="T211" s="249"/>
      <c r="U211" s="249"/>
      <c r="V211" s="249"/>
      <c r="W211" s="249"/>
    </row>
    <row r="212" spans="2:23" ht="18.75" hidden="1" customHeight="1">
      <c r="B212" s="249"/>
      <c r="C212" s="249"/>
      <c r="D212" s="249"/>
      <c r="E212" s="249"/>
      <c r="F212" s="249"/>
      <c r="G212" s="249"/>
      <c r="H212" s="249"/>
      <c r="I212" s="249"/>
      <c r="J212" s="249"/>
      <c r="K212" s="249"/>
      <c r="L212" s="249"/>
      <c r="M212" s="249"/>
      <c r="N212" s="249"/>
      <c r="O212" s="249"/>
      <c r="P212" s="249"/>
      <c r="Q212" s="249"/>
      <c r="R212" s="249"/>
      <c r="S212" s="249"/>
      <c r="T212" s="249"/>
      <c r="U212" s="249"/>
      <c r="V212" s="249"/>
      <c r="W212" s="249"/>
    </row>
    <row r="213" spans="2:23" ht="18.75" hidden="1" customHeight="1">
      <c r="B213" s="249"/>
      <c r="C213" s="249"/>
      <c r="D213" s="249"/>
      <c r="E213" s="249"/>
      <c r="F213" s="249"/>
      <c r="G213" s="249"/>
      <c r="H213" s="249"/>
      <c r="I213" s="249"/>
      <c r="J213" s="249"/>
      <c r="K213" s="249"/>
      <c r="L213" s="249"/>
      <c r="M213" s="249"/>
      <c r="N213" s="249"/>
      <c r="O213" s="249"/>
      <c r="P213" s="249"/>
      <c r="Q213" s="249"/>
      <c r="R213" s="249"/>
      <c r="S213" s="249"/>
      <c r="T213" s="249"/>
      <c r="U213" s="249"/>
      <c r="V213" s="249"/>
      <c r="W213" s="249"/>
    </row>
    <row r="214" spans="2:23" ht="18.75" hidden="1" customHeight="1">
      <c r="B214" s="249"/>
      <c r="C214" s="249"/>
      <c r="D214" s="249"/>
      <c r="E214" s="249"/>
      <c r="F214" s="249"/>
      <c r="G214" s="249"/>
      <c r="H214" s="249"/>
      <c r="I214" s="249"/>
      <c r="J214" s="249"/>
      <c r="K214" s="249"/>
      <c r="L214" s="249"/>
      <c r="M214" s="249"/>
      <c r="N214" s="249"/>
      <c r="O214" s="249"/>
      <c r="P214" s="249"/>
      <c r="Q214" s="249"/>
      <c r="R214" s="249"/>
      <c r="S214" s="249"/>
      <c r="T214" s="249"/>
      <c r="U214" s="249"/>
      <c r="V214" s="249"/>
      <c r="W214" s="249"/>
    </row>
    <row r="215" spans="2:23" ht="18.75" hidden="1" customHeight="1">
      <c r="B215" s="249"/>
      <c r="C215" s="249"/>
      <c r="D215" s="249"/>
      <c r="E215" s="249"/>
      <c r="F215" s="249"/>
      <c r="G215" s="249"/>
      <c r="H215" s="249"/>
      <c r="I215" s="249"/>
      <c r="J215" s="249"/>
      <c r="K215" s="249"/>
      <c r="L215" s="249"/>
      <c r="M215" s="249"/>
      <c r="N215" s="249"/>
      <c r="O215" s="249"/>
      <c r="P215" s="249"/>
      <c r="Q215" s="249"/>
      <c r="R215" s="249"/>
      <c r="S215" s="249"/>
      <c r="T215" s="249"/>
      <c r="U215" s="249"/>
      <c r="V215" s="249"/>
      <c r="W215" s="249"/>
    </row>
    <row r="216" spans="2:23" ht="18.75" hidden="1" customHeight="1"/>
    <row r="217" spans="2:23" ht="18.75" hidden="1" customHeight="1"/>
    <row r="218" spans="2:23" ht="18.75" hidden="1" customHeight="1"/>
    <row r="219" spans="2:23" ht="19.5" hidden="1" customHeight="1"/>
  </sheetData>
  <sheetProtection sheet="1" objects="1" scenarios="1"/>
  <mergeCells count="160">
    <mergeCell ref="A1:W1"/>
    <mergeCell ref="A4:A160"/>
    <mergeCell ref="K138:L138"/>
    <mergeCell ref="K139:L139"/>
    <mergeCell ref="K140:L140"/>
    <mergeCell ref="K141:L141"/>
    <mergeCell ref="K142:L142"/>
    <mergeCell ref="K126:L126"/>
    <mergeCell ref="K127:L127"/>
    <mergeCell ref="K157:L157"/>
    <mergeCell ref="K158:L158"/>
    <mergeCell ref="K128:L128"/>
    <mergeCell ref="K143:L143"/>
    <mergeCell ref="K144:L144"/>
    <mergeCell ref="K146:L146"/>
    <mergeCell ref="K134:L134"/>
    <mergeCell ref="K135:L135"/>
    <mergeCell ref="K136:L136"/>
    <mergeCell ref="K137:L137"/>
    <mergeCell ref="K159:L159"/>
    <mergeCell ref="K160:L160"/>
    <mergeCell ref="K147:L147"/>
    <mergeCell ref="K148:L148"/>
    <mergeCell ref="K149:L149"/>
    <mergeCell ref="K150:L150"/>
    <mergeCell ref="K151:L151"/>
    <mergeCell ref="K152:L152"/>
    <mergeCell ref="K153:L153"/>
    <mergeCell ref="K154:L154"/>
    <mergeCell ref="K155:L155"/>
    <mergeCell ref="K156:L156"/>
    <mergeCell ref="H77:V78"/>
    <mergeCell ref="C80:E80"/>
    <mergeCell ref="C79:E79"/>
    <mergeCell ref="C78:F78"/>
    <mergeCell ref="K131:L131"/>
    <mergeCell ref="K133:L133"/>
    <mergeCell ref="K132:L132"/>
    <mergeCell ref="K115:L115"/>
    <mergeCell ref="K114:L114"/>
    <mergeCell ref="K116:L116"/>
    <mergeCell ref="K117:L117"/>
    <mergeCell ref="K118:L118"/>
    <mergeCell ref="K119:L119"/>
    <mergeCell ref="K120:L120"/>
    <mergeCell ref="K121:L121"/>
    <mergeCell ref="K122:L122"/>
    <mergeCell ref="C104:D104"/>
    <mergeCell ref="E101:F101"/>
    <mergeCell ref="E104:F104"/>
    <mergeCell ref="C87:E87"/>
    <mergeCell ref="C84:E84"/>
    <mergeCell ref="K123:L123"/>
    <mergeCell ref="K124:L124"/>
    <mergeCell ref="K125:L125"/>
    <mergeCell ref="C92:D92"/>
    <mergeCell ref="K81:L81"/>
    <mergeCell ref="C81:E81"/>
    <mergeCell ref="C85:E85"/>
    <mergeCell ref="E93:F93"/>
    <mergeCell ref="E94:F94"/>
    <mergeCell ref="K97:L97"/>
    <mergeCell ref="K98:L98"/>
    <mergeCell ref="C94:D94"/>
    <mergeCell ref="C95:D95"/>
    <mergeCell ref="C96:D96"/>
    <mergeCell ref="C97:D97"/>
    <mergeCell ref="C98:D98"/>
    <mergeCell ref="C101:D101"/>
    <mergeCell ref="K99:L99"/>
    <mergeCell ref="K82:L82"/>
    <mergeCell ref="K83:L83"/>
    <mergeCell ref="K13:L13"/>
    <mergeCell ref="K15:L15"/>
    <mergeCell ref="K16:L16"/>
    <mergeCell ref="K18:L18"/>
    <mergeCell ref="K19:L19"/>
    <mergeCell ref="K20:L20"/>
    <mergeCell ref="K22:L22"/>
    <mergeCell ref="K24:L24"/>
    <mergeCell ref="K80:L80"/>
    <mergeCell ref="C59:V59"/>
    <mergeCell ref="T60:V61"/>
    <mergeCell ref="C62:V62"/>
    <mergeCell ref="C71:E71"/>
    <mergeCell ref="C64:E64"/>
    <mergeCell ref="C65:E65"/>
    <mergeCell ref="C66:E66"/>
    <mergeCell ref="C67:E67"/>
    <mergeCell ref="H63:I63"/>
    <mergeCell ref="C68:F68"/>
    <mergeCell ref="C60:N61"/>
    <mergeCell ref="U79:V79"/>
    <mergeCell ref="R79:S79"/>
    <mergeCell ref="K79:M79"/>
    <mergeCell ref="O79:P79"/>
    <mergeCell ref="B4:W5"/>
    <mergeCell ref="B6:W6"/>
    <mergeCell ref="C83:E83"/>
    <mergeCell ref="C73:F73"/>
    <mergeCell ref="C74:E74"/>
    <mergeCell ref="O63:P63"/>
    <mergeCell ref="R63:S63"/>
    <mergeCell ref="O68:P68"/>
    <mergeCell ref="H79:I79"/>
    <mergeCell ref="O72:P72"/>
    <mergeCell ref="C69:E69"/>
    <mergeCell ref="C70:E70"/>
    <mergeCell ref="C76:E76"/>
    <mergeCell ref="C77:E77"/>
    <mergeCell ref="W7:W160"/>
    <mergeCell ref="R7:S7"/>
    <mergeCell ref="R8:S8"/>
    <mergeCell ref="C75:E75"/>
    <mergeCell ref="C72:E72"/>
    <mergeCell ref="C89:F89"/>
    <mergeCell ref="C90:D90"/>
    <mergeCell ref="C91:D91"/>
    <mergeCell ref="C99:D99"/>
    <mergeCell ref="C100:D100"/>
    <mergeCell ref="C82:E82"/>
    <mergeCell ref="U7:V7"/>
    <mergeCell ref="U8:V8"/>
    <mergeCell ref="C58:V58"/>
    <mergeCell ref="O60:S61"/>
    <mergeCell ref="C63:F63"/>
    <mergeCell ref="B7:B58"/>
    <mergeCell ref="K8:M8"/>
    <mergeCell ref="K7:M7"/>
    <mergeCell ref="O7:P7"/>
    <mergeCell ref="O8:P8"/>
    <mergeCell ref="H19:I19"/>
    <mergeCell ref="K9:L9"/>
    <mergeCell ref="K10:L10"/>
    <mergeCell ref="K12:L12"/>
    <mergeCell ref="B59:B161"/>
    <mergeCell ref="C102:D102"/>
    <mergeCell ref="E102:F102"/>
    <mergeCell ref="E103:F103"/>
    <mergeCell ref="C103:D103"/>
    <mergeCell ref="E90:F90"/>
    <mergeCell ref="E91:F91"/>
    <mergeCell ref="E92:F92"/>
    <mergeCell ref="K94:L94"/>
    <mergeCell ref="E95:F95"/>
    <mergeCell ref="E96:F96"/>
    <mergeCell ref="E97:F97"/>
    <mergeCell ref="E98:F98"/>
    <mergeCell ref="E99:F99"/>
    <mergeCell ref="E100:F100"/>
    <mergeCell ref="C93:D93"/>
    <mergeCell ref="K85:L85"/>
    <mergeCell ref="K87:L87"/>
    <mergeCell ref="K88:L88"/>
    <mergeCell ref="K89:L89"/>
    <mergeCell ref="K90:L90"/>
    <mergeCell ref="K91:L91"/>
    <mergeCell ref="K92:L92"/>
    <mergeCell ref="C86:E86"/>
    <mergeCell ref="K96:L96"/>
  </mergeCells>
  <conditionalFormatting sqref="I9">
    <cfRule type="expression" dxfId="40" priority="32">
      <formula>$I$8=FALSE</formula>
    </cfRule>
  </conditionalFormatting>
  <conditionalFormatting sqref="I11:I12">
    <cfRule type="expression" dxfId="39" priority="31">
      <formula>$I$8=TRUE</formula>
    </cfRule>
  </conditionalFormatting>
  <conditionalFormatting sqref="H142">
    <cfRule type="colorScale" priority="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31:H144 O131:O144 R131:R144 U131:U144 K131:K144">
    <cfRule type="colorScale" priority="2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I131:I144 M131:M144 P131:P144 S131:S144 V131:V144">
    <cfRule type="cellIs" dxfId="38" priority="120" operator="equal">
      <formula>""</formula>
    </cfRule>
    <cfRule type="cellIs" dxfId="37" priority="121" operator="greaterThan">
      <formula>$F$86</formula>
    </cfRule>
  </conditionalFormatting>
  <dataValidations count="5">
    <dataValidation type="list" allowBlank="1" showInputMessage="1" showErrorMessage="1" sqref="O60:S61" xr:uid="{00000000-0002-0000-0000-000000000000}">
      <formula1>"Décourt-Quaresma (1996), Aoki-Velloso (1975), Teixeira (1996),Média"</formula1>
    </dataValidation>
    <dataValidation type="list" allowBlank="1" showInputMessage="1" showErrorMessage="1" sqref="I24" xr:uid="{00000000-0002-0000-0000-000001000000}">
      <formula1>"I,II,III,IV"</formula1>
    </dataValidation>
    <dataValidation type="list" allowBlank="1" showInputMessage="1" showErrorMessage="1" sqref="I21" xr:uid="{00000000-0002-0000-0000-000002000000}">
      <formula1>"Nula, Positiva"</formula1>
    </dataValidation>
    <dataValidation type="list" allowBlank="1" showInputMessage="1" showErrorMessage="1" sqref="I22" xr:uid="{00000000-0002-0000-0000-000003000000}">
      <formula1>"Nula, Negativa"</formula1>
    </dataValidation>
    <dataValidation type="decimal" allowBlank="1" showInputMessage="1" showErrorMessage="1" sqref="M24 P24 S24 V24" xr:uid="{B5DDB92D-8977-437D-8166-4111FE2E1013}">
      <formula1>1</formula1>
      <formula2>100</formula2>
    </dataValidation>
  </dataValidations>
  <printOptions horizontalCentered="1" verticalCentered="1"/>
  <pageMargins left="0.23622047244094491" right="0.23622047244094491" top="0.35433070866141736" bottom="0.35433070866141736" header="0.31496062992125984" footer="0.31496062992125984"/>
  <pageSetup paperSize="9" scale="54" orientation="landscape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70" r:id="rId4" name="Check Box 22">
              <controlPr locked="0" defaultSize="0" autoFill="0" autoLine="0" autoPict="0" altText="Seção Circular">
                <anchor moveWithCells="1">
                  <from>
                    <xdr:col>7</xdr:col>
                    <xdr:colOff>276225</xdr:colOff>
                    <xdr:row>6</xdr:row>
                    <xdr:rowOff>295275</xdr:rowOff>
                  </from>
                  <to>
                    <xdr:col>7</xdr:col>
                    <xdr:colOff>1504950</xdr:colOff>
                    <xdr:row>8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00000000-0002-0000-0000-000004000000}">
          <x14:formula1>
            <xm:f>Compatibilidade!$F$24:$F$33</xm:f>
          </x14:formula1>
          <xm:sqref>I7</xm:sqref>
        </x14:dataValidation>
        <x14:dataValidation type="list" allowBlank="1" showInputMessage="1" showErrorMessage="1" xr:uid="{00000000-0002-0000-0000-000005000000}">
          <x14:formula1>
            <xm:f>CALCULO!$DE$11:$DE$24</xm:f>
          </x14:formula1>
          <xm:sqref>I9</xm:sqref>
        </x14:dataValidation>
        <x14:dataValidation type="list" allowBlank="1" showInputMessage="1" showErrorMessage="1" xr:uid="{00000000-0002-0000-0000-000006000000}">
          <x14:formula1>
            <xm:f>CALCULO!$DH$2:$DH$50</xm:f>
          </x14:formula1>
          <xm:sqref>I15 I20</xm:sqref>
        </x14:dataValidation>
        <x14:dataValidation type="list" allowBlank="1" showInputMessage="1" showErrorMessage="1" xr:uid="{00000000-0002-0000-0000-000007000000}">
          <x14:formula1>
            <xm:f>CALCULO!$DH$2:$DH$16</xm:f>
          </x14:formula1>
          <xm:sqref>I14</xm:sqref>
        </x14:dataValidation>
        <x14:dataValidation type="list" allowBlank="1" showInputMessage="1" showErrorMessage="1" xr:uid="{00000000-0002-0000-0000-000008000000}">
          <x14:formula1>
            <xm:f>CALCULO!$DG$2:$DG$3</xm:f>
          </x14:formula1>
          <xm:sqref>I13</xm:sqref>
        </x14:dataValidation>
        <x14:dataValidation type="list" allowBlank="1" showInputMessage="1" showErrorMessage="1" xr:uid="{00000000-0002-0000-0000-000009000000}">
          <x14:formula1>
            <xm:f>CALCULO!$BK$8:$BK$24</xm:f>
          </x14:formula1>
          <xm:sqref>F8:F57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Planilha1">
    <pageSetUpPr fitToPage="1"/>
  </sheetPr>
  <dimension ref="A1:V114"/>
  <sheetViews>
    <sheetView showRowColHeaders="0" zoomScale="70" zoomScaleNormal="70" workbookViewId="0">
      <selection sqref="A1:Q2"/>
    </sheetView>
  </sheetViews>
  <sheetFormatPr defaultColWidth="0" defaultRowHeight="15" zeroHeight="1"/>
  <cols>
    <col min="1" max="1" width="3.42578125" style="340" customWidth="1"/>
    <col min="2" max="2" width="14.7109375" style="340" customWidth="1"/>
    <col min="3" max="3" width="9.5703125" style="340" customWidth="1"/>
    <col min="4" max="4" width="11.85546875" style="340" bestFit="1" customWidth="1"/>
    <col min="5" max="5" width="21" style="340" bestFit="1" customWidth="1"/>
    <col min="6" max="6" width="2.5703125" style="340" customWidth="1"/>
    <col min="7" max="7" width="41.5703125" style="340" customWidth="1"/>
    <col min="8" max="8" width="18.7109375" style="340" customWidth="1"/>
    <col min="9" max="9" width="3.140625" style="340" customWidth="1"/>
    <col min="10" max="10" width="36.42578125" style="340" bestFit="1" customWidth="1"/>
    <col min="11" max="11" width="21.28515625" style="340" customWidth="1"/>
    <col min="12" max="12" width="2.5703125" style="340" customWidth="1"/>
    <col min="13" max="13" width="23.85546875" style="340" customWidth="1"/>
    <col min="14" max="14" width="19.28515625" style="340" customWidth="1"/>
    <col min="15" max="15" width="2.5703125" style="335" customWidth="1"/>
    <col min="16" max="16" width="36.42578125" style="335" customWidth="1"/>
    <col min="17" max="17" width="25.85546875" style="335" bestFit="1" customWidth="1"/>
    <col min="18" max="18" width="2.85546875" style="222" hidden="1" customWidth="1"/>
    <col min="19" max="22" width="0" style="222" hidden="1" customWidth="1"/>
    <col min="23" max="16384" width="9.140625" hidden="1"/>
  </cols>
  <sheetData>
    <row r="1" spans="1:17" ht="15" customHeight="1">
      <c r="A1" s="377" t="s">
        <v>311</v>
      </c>
      <c r="B1" s="377"/>
      <c r="C1" s="377"/>
      <c r="D1" s="377"/>
      <c r="E1" s="377"/>
      <c r="F1" s="377"/>
      <c r="G1" s="377"/>
      <c r="H1" s="377"/>
      <c r="I1" s="377"/>
      <c r="J1" s="377"/>
      <c r="K1" s="377"/>
      <c r="L1" s="377"/>
      <c r="M1" s="377"/>
      <c r="N1" s="377"/>
      <c r="O1" s="377"/>
      <c r="P1" s="377"/>
      <c r="Q1" s="377"/>
    </row>
    <row r="2" spans="1:17" ht="15" customHeight="1">
      <c r="A2" s="377"/>
      <c r="B2" s="377"/>
      <c r="C2" s="377"/>
      <c r="D2" s="377"/>
      <c r="E2" s="377"/>
      <c r="F2" s="377"/>
      <c r="G2" s="377"/>
      <c r="H2" s="377"/>
      <c r="I2" s="377"/>
      <c r="J2" s="377"/>
      <c r="K2" s="377"/>
      <c r="L2" s="377"/>
      <c r="M2" s="377"/>
      <c r="N2" s="377"/>
      <c r="O2" s="377"/>
      <c r="P2" s="377"/>
      <c r="Q2" s="377"/>
    </row>
    <row r="3" spans="1:17" ht="18.75">
      <c r="A3" s="392"/>
      <c r="B3" s="357" t="s">
        <v>327</v>
      </c>
      <c r="C3" s="358"/>
      <c r="D3" s="358"/>
      <c r="E3" s="358"/>
      <c r="F3" s="27"/>
      <c r="G3" s="357" t="s">
        <v>312</v>
      </c>
      <c r="H3" s="358"/>
      <c r="I3" s="209"/>
      <c r="J3" s="379" t="s">
        <v>399</v>
      </c>
      <c r="K3" s="380"/>
      <c r="L3" s="183"/>
      <c r="M3" s="379" t="s">
        <v>195</v>
      </c>
      <c r="N3" s="380"/>
      <c r="P3" s="379" t="s">
        <v>282</v>
      </c>
      <c r="Q3" s="380"/>
    </row>
    <row r="4" spans="1:17" ht="21">
      <c r="A4" s="392"/>
      <c r="B4" s="32" t="s">
        <v>14</v>
      </c>
      <c r="C4" s="112" t="s">
        <v>50</v>
      </c>
      <c r="D4" s="110" t="s">
        <v>270</v>
      </c>
      <c r="E4" s="112" t="s">
        <v>71</v>
      </c>
      <c r="F4" s="27"/>
      <c r="G4" s="250" t="s">
        <v>313</v>
      </c>
      <c r="H4" s="201">
        <v>2500</v>
      </c>
      <c r="I4" s="210"/>
      <c r="J4" s="250" t="s">
        <v>4</v>
      </c>
      <c r="K4" s="184" t="str">
        <f>CAPA!F67</f>
        <v>C-Pré-moldada</v>
      </c>
      <c r="L4" s="185"/>
      <c r="M4" s="251" t="s">
        <v>284</v>
      </c>
      <c r="N4" s="84">
        <f>CAPA!S64</f>
        <v>1.2742299802960202</v>
      </c>
      <c r="P4" s="250" t="s">
        <v>333</v>
      </c>
      <c r="Q4" s="332" t="s">
        <v>339</v>
      </c>
    </row>
    <row r="5" spans="1:17" ht="18.75">
      <c r="A5" s="392"/>
      <c r="B5" s="35">
        <v>0</v>
      </c>
      <c r="C5" s="336" t="str">
        <f>IF(CAPA!D8="","",CAPA!D8)</f>
        <v/>
      </c>
      <c r="D5" s="336" t="str">
        <f>IF(CAPA!E8="","",CAPA!E8)</f>
        <v/>
      </c>
      <c r="E5" s="336" t="str">
        <f>IF(CAPA!F8="","",CAPA!F8)</f>
        <v/>
      </c>
      <c r="F5" s="27"/>
      <c r="G5" s="251" t="s">
        <v>314</v>
      </c>
      <c r="H5" s="202">
        <f>CAPA!F79</f>
        <v>28</v>
      </c>
      <c r="I5" s="211"/>
      <c r="J5" s="250" t="s">
        <v>193</v>
      </c>
      <c r="K5" s="184">
        <f>CAPA!F64</f>
        <v>26</v>
      </c>
      <c r="L5" s="186"/>
      <c r="M5" s="251" t="s">
        <v>285</v>
      </c>
      <c r="N5" s="195" t="str">
        <f>CAPA!S67</f>
        <v>Fabricante</v>
      </c>
      <c r="P5" s="250" t="s">
        <v>340</v>
      </c>
      <c r="Q5" s="332">
        <f>CAPA!F80</f>
        <v>0.5</v>
      </c>
    </row>
    <row r="6" spans="1:17" ht="18.75">
      <c r="A6" s="392"/>
      <c r="B6" s="38">
        <f>B5+1</f>
        <v>1</v>
      </c>
      <c r="C6" s="336">
        <f>IF(CAPA!D9="","",CAPA!D9)</f>
        <v>5</v>
      </c>
      <c r="D6" s="336">
        <f>IF(CAPA!E9="","",CAPA!E9)</f>
        <v>16</v>
      </c>
      <c r="E6" s="336" t="str">
        <f>IF(CAPA!F9="","",CAPA!F9)</f>
        <v>D-areia argilosa</v>
      </c>
      <c r="F6" s="27"/>
      <c r="G6" s="251" t="s">
        <v>315</v>
      </c>
      <c r="H6" s="139" t="str">
        <f>CAPA!F82</f>
        <v>Fornecedor</v>
      </c>
      <c r="I6" s="212"/>
      <c r="J6" s="250" t="s">
        <v>400</v>
      </c>
      <c r="K6" s="138">
        <f>CAPA!F65-CAPA!F66</f>
        <v>12</v>
      </c>
      <c r="L6" s="187"/>
      <c r="M6" s="251" t="s">
        <v>290</v>
      </c>
      <c r="N6" s="334">
        <f>CAPA!S70</f>
        <v>24</v>
      </c>
      <c r="P6" s="257" t="s">
        <v>226</v>
      </c>
      <c r="Q6" s="194">
        <f>CAPA!P69</f>
        <v>2.0055968740972165</v>
      </c>
    </row>
    <row r="7" spans="1:17" ht="18.75">
      <c r="A7" s="392"/>
      <c r="B7" s="38">
        <f t="shared" ref="B7:B54" si="0">B6+1</f>
        <v>2</v>
      </c>
      <c r="C7" s="336">
        <f>IF(CAPA!D10="","",CAPA!D10)</f>
        <v>5</v>
      </c>
      <c r="D7" s="336">
        <f>IF(CAPA!E10="","",CAPA!E10)</f>
        <v>16</v>
      </c>
      <c r="E7" s="336" t="str">
        <f>IF(CAPA!F10="","",CAPA!F10)</f>
        <v>D-areia argilosa</v>
      </c>
      <c r="F7" s="27"/>
      <c r="G7" s="251" t="s">
        <v>267</v>
      </c>
      <c r="H7" s="139" t="str">
        <f>CAPA!F81</f>
        <v>II</v>
      </c>
      <c r="I7" s="212"/>
      <c r="J7" s="252" t="s">
        <v>333</v>
      </c>
      <c r="K7" s="315" t="str">
        <f>CAPA!O60</f>
        <v>Aoki-Velloso (1975)</v>
      </c>
      <c r="L7" s="188" t="s">
        <v>342</v>
      </c>
      <c r="M7" s="251"/>
      <c r="N7" s="82"/>
      <c r="P7" s="257" t="s">
        <v>341</v>
      </c>
      <c r="Q7" s="194">
        <f>CAPA!P70</f>
        <v>1.0286729097071008</v>
      </c>
    </row>
    <row r="8" spans="1:17" ht="18.75">
      <c r="A8" s="392"/>
      <c r="B8" s="38">
        <f t="shared" si="0"/>
        <v>3</v>
      </c>
      <c r="C8" s="336">
        <f>IF(CAPA!D11="","",CAPA!D11)</f>
        <v>2</v>
      </c>
      <c r="D8" s="336">
        <f>IF(CAPA!E11="","",CAPA!E11)</f>
        <v>16</v>
      </c>
      <c r="E8" s="336" t="str">
        <f>IF(CAPA!F11="","",CAPA!F11)</f>
        <v>D-areia argilosa</v>
      </c>
      <c r="F8" s="27"/>
      <c r="G8" s="44"/>
      <c r="H8" s="27"/>
      <c r="I8" s="27"/>
      <c r="J8" s="253" t="s">
        <v>331</v>
      </c>
      <c r="K8" s="219">
        <f>CAPA!I64</f>
        <v>2</v>
      </c>
      <c r="L8" s="185"/>
      <c r="M8" s="255" t="s">
        <v>286</v>
      </c>
      <c r="N8" s="333">
        <f>CAPA!S65</f>
        <v>445.98049310360705</v>
      </c>
    </row>
    <row r="9" spans="1:17" ht="18.75">
      <c r="A9" s="392"/>
      <c r="B9" s="38">
        <f t="shared" si="0"/>
        <v>4</v>
      </c>
      <c r="C9" s="336">
        <f>IF(CAPA!D12="","",CAPA!D12)</f>
        <v>3</v>
      </c>
      <c r="D9" s="336">
        <f>IF(CAPA!E12="","",CAPA!E12)</f>
        <v>16</v>
      </c>
      <c r="E9" s="336" t="str">
        <f>IF(CAPA!F12="","",CAPA!F12)</f>
        <v>D-areia argilosa</v>
      </c>
      <c r="F9" s="27"/>
      <c r="G9" s="357" t="s">
        <v>316</v>
      </c>
      <c r="H9" s="358"/>
      <c r="I9" s="209"/>
      <c r="J9" s="250" t="s">
        <v>332</v>
      </c>
      <c r="K9" s="159">
        <f>CAPA!I65</f>
        <v>0.9375</v>
      </c>
      <c r="L9" s="189"/>
      <c r="M9" s="251" t="s">
        <v>287</v>
      </c>
      <c r="N9" s="333" t="str">
        <f>CAPA!S68</f>
        <v>Fabricante</v>
      </c>
      <c r="P9" s="27"/>
      <c r="Q9" s="27"/>
    </row>
    <row r="10" spans="1:17" ht="18.75">
      <c r="A10" s="392"/>
      <c r="B10" s="38">
        <f t="shared" si="0"/>
        <v>5</v>
      </c>
      <c r="C10" s="336">
        <f>IF(CAPA!D13="","",CAPA!D13)</f>
        <v>2</v>
      </c>
      <c r="D10" s="336">
        <f>IF(CAPA!E13="","",CAPA!E13)</f>
        <v>16</v>
      </c>
      <c r="E10" s="336" t="str">
        <f>IF(CAPA!F13="","",CAPA!F13)</f>
        <v>D-areia argilosa</v>
      </c>
      <c r="F10" s="27"/>
      <c r="G10" s="250" t="s">
        <v>320</v>
      </c>
      <c r="H10" s="139"/>
      <c r="I10" s="212"/>
      <c r="J10" s="252" t="s">
        <v>330</v>
      </c>
      <c r="K10" s="176">
        <f>CAPA!I66</f>
        <v>250</v>
      </c>
      <c r="L10" s="190"/>
      <c r="M10" s="251" t="s">
        <v>291</v>
      </c>
      <c r="N10" s="333">
        <f>CAPA!S71</f>
        <v>1920</v>
      </c>
      <c r="P10" s="27"/>
      <c r="Q10" s="27"/>
    </row>
    <row r="11" spans="1:17" ht="18.75">
      <c r="A11" s="392"/>
      <c r="B11" s="38">
        <f t="shared" si="0"/>
        <v>6</v>
      </c>
      <c r="C11" s="336">
        <f>IF(CAPA!D14="","",CAPA!D14)</f>
        <v>4</v>
      </c>
      <c r="D11" s="336">
        <f>IF(CAPA!E14="","",CAPA!E14)</f>
        <v>16</v>
      </c>
      <c r="E11" s="336" t="str">
        <f>IF(CAPA!F14="","",CAPA!F14)</f>
        <v>D-areia argilosa</v>
      </c>
      <c r="F11" s="27"/>
      <c r="G11" s="250" t="s">
        <v>319</v>
      </c>
      <c r="H11" s="138" t="str">
        <f>CAPA!F85</f>
        <v>Fabricante</v>
      </c>
      <c r="I11" s="212"/>
      <c r="J11" s="250" t="s">
        <v>355</v>
      </c>
      <c r="K11" s="176">
        <f>CAPA!I67</f>
        <v>250</v>
      </c>
      <c r="L11" s="190"/>
      <c r="M11" s="251" t="s">
        <v>289</v>
      </c>
      <c r="N11" s="333">
        <f>CAPA!S73</f>
        <v>500</v>
      </c>
      <c r="P11" s="27"/>
      <c r="Q11" s="27"/>
    </row>
    <row r="12" spans="1:17" ht="18.75">
      <c r="A12" s="392"/>
      <c r="B12" s="38">
        <f t="shared" si="0"/>
        <v>7</v>
      </c>
      <c r="C12" s="336">
        <f>IF(CAPA!D15="","",CAPA!D15)</f>
        <v>4</v>
      </c>
      <c r="D12" s="336">
        <f>IF(CAPA!E15="","",CAPA!E15)</f>
        <v>16</v>
      </c>
      <c r="E12" s="336" t="str">
        <f>IF(CAPA!F15="","",CAPA!F15)</f>
        <v>D-areia argilosa</v>
      </c>
      <c r="F12" s="27"/>
      <c r="G12" s="250" t="s">
        <v>322</v>
      </c>
      <c r="H12" s="137" t="str">
        <f>CAPA!F83</f>
        <v>Fabricante</v>
      </c>
      <c r="I12" s="213"/>
      <c r="J12" s="253" t="s">
        <v>401</v>
      </c>
      <c r="K12" s="196">
        <f>CAPA!P73</f>
        <v>4.708726126979152</v>
      </c>
      <c r="L12" s="190"/>
      <c r="M12" s="251"/>
      <c r="N12" s="82"/>
      <c r="P12" s="27"/>
      <c r="Q12" s="27"/>
    </row>
    <row r="13" spans="1:17" ht="21">
      <c r="A13" s="392"/>
      <c r="B13" s="38">
        <f t="shared" si="0"/>
        <v>8</v>
      </c>
      <c r="C13" s="336">
        <f>IF(CAPA!D16="","",CAPA!D16)</f>
        <v>7</v>
      </c>
      <c r="D13" s="336">
        <f>IF(CAPA!E16="","",CAPA!E16)</f>
        <v>16</v>
      </c>
      <c r="E13" s="336" t="str">
        <f>IF(CAPA!F16="","",CAPA!F16)</f>
        <v>D-areia argilosa</v>
      </c>
      <c r="F13" s="27"/>
      <c r="G13" s="250" t="s">
        <v>317</v>
      </c>
      <c r="H13" s="139" t="str">
        <f>CAPA!F86</f>
        <v>-</v>
      </c>
      <c r="I13" s="212"/>
      <c r="J13" s="254" t="s">
        <v>402</v>
      </c>
      <c r="K13" s="77">
        <f>CAPA!I68</f>
        <v>0</v>
      </c>
      <c r="L13" s="190"/>
      <c r="M13" s="256" t="s">
        <v>288</v>
      </c>
      <c r="N13" s="192" t="str">
        <f>CAPA!S75</f>
        <v>Fabricante</v>
      </c>
      <c r="P13" s="27"/>
      <c r="Q13" s="27"/>
    </row>
    <row r="14" spans="1:17" ht="24">
      <c r="A14" s="392"/>
      <c r="B14" s="38">
        <f t="shared" si="0"/>
        <v>9</v>
      </c>
      <c r="C14" s="336">
        <f>IF(CAPA!D17="","",CAPA!D17)</f>
        <v>9</v>
      </c>
      <c r="D14" s="336">
        <f>IF(CAPA!E17="","",CAPA!E17)</f>
        <v>16</v>
      </c>
      <c r="E14" s="336" t="str">
        <f>IF(CAPA!F17="","",CAPA!F17)</f>
        <v>D-areia argilosa</v>
      </c>
      <c r="F14" s="27"/>
      <c r="G14" s="44"/>
      <c r="H14" s="27"/>
      <c r="I14" s="27"/>
      <c r="J14" s="254" t="s">
        <v>403</v>
      </c>
      <c r="K14" s="77">
        <f>CAPA!I73</f>
        <v>350.91167249065649</v>
      </c>
      <c r="L14" s="27"/>
      <c r="M14" s="27"/>
      <c r="N14" s="27"/>
      <c r="P14" s="27"/>
      <c r="Q14" s="27"/>
    </row>
    <row r="15" spans="1:17" ht="18.75">
      <c r="A15" s="392"/>
      <c r="B15" s="38">
        <f t="shared" si="0"/>
        <v>10</v>
      </c>
      <c r="C15" s="336">
        <f>IF(CAPA!D18="","",CAPA!D18)</f>
        <v>9</v>
      </c>
      <c r="D15" s="336">
        <f>IF(CAPA!E18="","",CAPA!E18)</f>
        <v>16</v>
      </c>
      <c r="E15" s="336" t="str">
        <f>IF(CAPA!F18="","",CAPA!F18)</f>
        <v>D-areia argilosa</v>
      </c>
      <c r="F15" s="27"/>
      <c r="G15" s="357" t="s">
        <v>268</v>
      </c>
      <c r="H15" s="358"/>
      <c r="I15" s="209"/>
      <c r="J15" s="27"/>
      <c r="K15" s="27"/>
      <c r="L15" s="191"/>
      <c r="M15" s="27"/>
      <c r="N15" s="27"/>
    </row>
    <row r="16" spans="1:17" ht="18.75">
      <c r="A16" s="392"/>
      <c r="B16" s="38">
        <f t="shared" si="0"/>
        <v>11</v>
      </c>
      <c r="C16" s="336">
        <f>IF(CAPA!D19="","",CAPA!D19)</f>
        <v>7</v>
      </c>
      <c r="D16" s="336">
        <f>IF(CAPA!E19="","",CAPA!E19)</f>
        <v>19</v>
      </c>
      <c r="E16" s="336" t="str">
        <f>IF(CAPA!F19="","",CAPA!F19)</f>
        <v>D-areia argilosa</v>
      </c>
      <c r="F16" s="27"/>
      <c r="G16" s="250" t="s">
        <v>396</v>
      </c>
      <c r="H16" s="139">
        <f>CAPA!F69</f>
        <v>500</v>
      </c>
      <c r="I16" s="212"/>
      <c r="J16" s="379" t="s">
        <v>281</v>
      </c>
      <c r="K16" s="380"/>
      <c r="L16" s="152"/>
      <c r="M16" s="27"/>
      <c r="N16" s="27"/>
    </row>
    <row r="17" spans="1:17" ht="18.75">
      <c r="A17" s="392"/>
      <c r="B17" s="38">
        <f t="shared" si="0"/>
        <v>12</v>
      </c>
      <c r="C17" s="336">
        <f>IF(CAPA!D20="","",CAPA!D20)</f>
        <v>7</v>
      </c>
      <c r="D17" s="336">
        <f>IF(CAPA!E20="","",CAPA!E20)</f>
        <v>19</v>
      </c>
      <c r="E17" s="336" t="str">
        <f>IF(CAPA!F20="","",CAPA!F20)</f>
        <v>D-areia argilosa</v>
      </c>
      <c r="F17" s="27"/>
      <c r="G17" s="250" t="s">
        <v>269</v>
      </c>
      <c r="H17" s="207">
        <f>CAPA!F70</f>
        <v>0</v>
      </c>
      <c r="I17" s="214"/>
      <c r="J17" s="250" t="s">
        <v>335</v>
      </c>
      <c r="K17" s="193">
        <f>CAPA!P64</f>
        <v>78</v>
      </c>
      <c r="L17" s="152"/>
      <c r="M17" s="27"/>
      <c r="N17" s="27"/>
    </row>
    <row r="18" spans="1:17" ht="18.75">
      <c r="A18" s="392"/>
      <c r="B18" s="38">
        <f t="shared" si="0"/>
        <v>13</v>
      </c>
      <c r="C18" s="336">
        <f>IF(CAPA!D21="","",CAPA!D21)</f>
        <v>9</v>
      </c>
      <c r="D18" s="336">
        <f>IF(CAPA!E21="","",CAPA!E21)</f>
        <v>20</v>
      </c>
      <c r="E18" s="336" t="str">
        <f>IF(CAPA!F21="","",CAPA!F21)</f>
        <v>D-areia argilosa</v>
      </c>
      <c r="F18" s="27"/>
      <c r="G18" s="250" t="s">
        <v>325</v>
      </c>
      <c r="H18" s="206">
        <f>CAPA!F71</f>
        <v>0</v>
      </c>
      <c r="I18" s="215"/>
      <c r="J18" s="250" t="s">
        <v>338</v>
      </c>
      <c r="K18" s="193">
        <f>CAPA!I97</f>
        <v>28</v>
      </c>
      <c r="L18" s="152"/>
      <c r="M18" s="27"/>
      <c r="N18" s="27"/>
    </row>
    <row r="19" spans="1:17" ht="18.75">
      <c r="A19" s="392"/>
      <c r="B19" s="38">
        <f t="shared" si="0"/>
        <v>14</v>
      </c>
      <c r="C19" s="336">
        <f>IF(CAPA!D22="","",CAPA!D22)</f>
        <v>14</v>
      </c>
      <c r="D19" s="336">
        <f>IF(CAPA!E22="","",CAPA!E22)</f>
        <v>20</v>
      </c>
      <c r="E19" s="336" t="str">
        <f>IF(CAPA!F22="","",CAPA!F22)</f>
        <v>D-areia argilosa</v>
      </c>
      <c r="F19" s="27"/>
      <c r="G19" s="250" t="s">
        <v>324</v>
      </c>
      <c r="H19" s="206">
        <f>CAPA!F72</f>
        <v>0</v>
      </c>
      <c r="I19" s="215"/>
      <c r="J19" s="250" t="s">
        <v>336</v>
      </c>
      <c r="K19" s="193">
        <f>CAPA!P65</f>
        <v>134</v>
      </c>
      <c r="L19" s="152"/>
      <c r="M19" s="27"/>
      <c r="N19" s="27"/>
    </row>
    <row r="20" spans="1:17" ht="18.75">
      <c r="A20" s="392"/>
      <c r="B20" s="38">
        <f t="shared" si="0"/>
        <v>15</v>
      </c>
      <c r="C20" s="336">
        <f>IF(CAPA!D23="","",CAPA!D23)</f>
        <v>16</v>
      </c>
      <c r="D20" s="336">
        <f>IF(CAPA!E23="","",CAPA!E23)</f>
        <v>20</v>
      </c>
      <c r="E20" s="336" t="str">
        <f>IF(CAPA!F23="","",CAPA!F23)</f>
        <v>D-areia argilosa</v>
      </c>
      <c r="F20" s="27"/>
      <c r="G20" s="44"/>
      <c r="H20" s="27"/>
      <c r="I20" s="27"/>
      <c r="J20" s="250" t="s">
        <v>337</v>
      </c>
      <c r="K20" s="193">
        <f>CAPA!P66</f>
        <v>56</v>
      </c>
      <c r="L20" s="152"/>
      <c r="M20" s="27"/>
      <c r="N20" s="27"/>
    </row>
    <row r="21" spans="1:17" ht="23.25" customHeight="1">
      <c r="A21" s="392"/>
      <c r="B21" s="38">
        <f t="shared" si="0"/>
        <v>16</v>
      </c>
      <c r="C21" s="336">
        <f>IF(CAPA!D24="","",CAPA!D24)</f>
        <v>15</v>
      </c>
      <c r="D21" s="336">
        <f>IF(CAPA!E24="","",CAPA!E24)</f>
        <v>20</v>
      </c>
      <c r="E21" s="336" t="str">
        <f>IF(CAPA!F24="","",CAPA!F24)</f>
        <v>D-areia argilosa</v>
      </c>
      <c r="F21" s="27"/>
      <c r="G21" s="357" t="s">
        <v>328</v>
      </c>
      <c r="H21" s="358"/>
      <c r="I21" s="209"/>
      <c r="J21" s="250" t="s">
        <v>344</v>
      </c>
      <c r="K21" s="177">
        <f>CAPA!P67</f>
        <v>1E-3</v>
      </c>
      <c r="L21" s="27"/>
      <c r="M21" s="27"/>
      <c r="N21" s="27"/>
      <c r="P21" s="395" t="s">
        <v>408</v>
      </c>
      <c r="Q21" s="396"/>
    </row>
    <row r="22" spans="1:17" ht="18.75">
      <c r="A22" s="392"/>
      <c r="B22" s="38">
        <f t="shared" si="0"/>
        <v>17</v>
      </c>
      <c r="C22" s="336">
        <f>IF(CAPA!D25="","",CAPA!D25)</f>
        <v>13</v>
      </c>
      <c r="D22" s="336">
        <f>IF(CAPA!E25="","",CAPA!E25)</f>
        <v>20</v>
      </c>
      <c r="E22" s="336" t="str">
        <f>IF(CAPA!F25="","",CAPA!F25)</f>
        <v>D-areia argilosa</v>
      </c>
      <c r="F22" s="27"/>
      <c r="G22" s="250" t="s">
        <v>198</v>
      </c>
      <c r="H22" s="203">
        <f>CAPA!S73</f>
        <v>500</v>
      </c>
      <c r="I22" s="144"/>
      <c r="J22" s="27"/>
      <c r="K22" s="27"/>
      <c r="L22" s="191"/>
      <c r="M22" s="27"/>
      <c r="N22" s="27"/>
      <c r="P22" s="396"/>
      <c r="Q22" s="396"/>
    </row>
    <row r="23" spans="1:17" ht="18.75">
      <c r="A23" s="392"/>
      <c r="B23" s="38">
        <f t="shared" si="0"/>
        <v>18</v>
      </c>
      <c r="C23" s="336">
        <f>IF(CAPA!D26="","",CAPA!D26)</f>
        <v>14</v>
      </c>
      <c r="D23" s="336">
        <f>IF(CAPA!E26="","",CAPA!E26)</f>
        <v>20</v>
      </c>
      <c r="E23" s="336" t="str">
        <f>IF(CAPA!F26="","",CAPA!F26)</f>
        <v>D-areia argilosa</v>
      </c>
      <c r="F23" s="27"/>
      <c r="G23" s="250" t="s">
        <v>196</v>
      </c>
      <c r="H23" s="208">
        <f>CAPA!F75</f>
        <v>80</v>
      </c>
      <c r="I23" s="216"/>
      <c r="J23" s="335"/>
      <c r="K23" s="335"/>
      <c r="L23" s="152"/>
      <c r="M23" s="27"/>
      <c r="N23" s="27"/>
      <c r="P23" s="396"/>
      <c r="Q23" s="396"/>
    </row>
    <row r="24" spans="1:17" ht="18.75">
      <c r="A24" s="392"/>
      <c r="B24" s="38">
        <f t="shared" si="0"/>
        <v>19</v>
      </c>
      <c r="C24" s="336">
        <f>IF(CAPA!D27="","",CAPA!D27)</f>
        <v>16</v>
      </c>
      <c r="D24" s="336">
        <f>IF(CAPA!E27="","",CAPA!E27)</f>
        <v>20</v>
      </c>
      <c r="E24" s="336" t="str">
        <f>IF(CAPA!F27="","",CAPA!F27)</f>
        <v>D-areia argilosa</v>
      </c>
      <c r="F24" s="27"/>
      <c r="G24" s="250" t="s">
        <v>197</v>
      </c>
      <c r="H24" s="204">
        <f>CAPA!F76</f>
        <v>350</v>
      </c>
      <c r="I24" s="217"/>
      <c r="J24" s="335"/>
      <c r="K24" s="335"/>
      <c r="L24" s="152"/>
      <c r="M24" s="27"/>
      <c r="N24" s="27"/>
      <c r="P24" s="396"/>
      <c r="Q24" s="396"/>
    </row>
    <row r="25" spans="1:17" ht="18.75">
      <c r="A25" s="392"/>
      <c r="B25" s="38">
        <f t="shared" si="0"/>
        <v>20</v>
      </c>
      <c r="C25" s="336">
        <f>IF(CAPA!D28="","",CAPA!D28)</f>
        <v>21</v>
      </c>
      <c r="D25" s="336">
        <f>IF(CAPA!E28="","",CAPA!E28)</f>
        <v>21</v>
      </c>
      <c r="E25" s="336" t="str">
        <f>IF(CAPA!F28="","",CAPA!F28)</f>
        <v>D-areia argilosa</v>
      </c>
      <c r="F25" s="27"/>
      <c r="G25" s="250" t="s">
        <v>329</v>
      </c>
      <c r="H25" s="205">
        <f>CAPA!F77</f>
        <v>10</v>
      </c>
      <c r="I25" s="218"/>
      <c r="J25" s="335"/>
      <c r="K25" s="335"/>
      <c r="L25" s="152"/>
      <c r="M25" s="27"/>
      <c r="N25" s="27"/>
      <c r="P25" s="396"/>
      <c r="Q25" s="396"/>
    </row>
    <row r="26" spans="1:17" ht="18.75">
      <c r="A26" s="392"/>
      <c r="B26" s="38">
        <f t="shared" si="0"/>
        <v>21</v>
      </c>
      <c r="C26" s="336">
        <f>IF(CAPA!D29="","",CAPA!D29)</f>
        <v>28</v>
      </c>
      <c r="D26" s="336">
        <f>IF(CAPA!E29="","",CAPA!E29)</f>
        <v>21</v>
      </c>
      <c r="E26" s="336" t="str">
        <f>IF(CAPA!F29="","",CAPA!F29)</f>
        <v>D-areia argilosa</v>
      </c>
      <c r="F26" s="27"/>
      <c r="G26" s="44"/>
      <c r="H26" s="27"/>
      <c r="I26" s="27"/>
      <c r="J26" s="335"/>
      <c r="K26" s="335"/>
      <c r="L26" s="152"/>
      <c r="M26" s="27"/>
      <c r="N26" s="27"/>
      <c r="P26" s="396"/>
      <c r="Q26" s="396"/>
    </row>
    <row r="27" spans="1:17" ht="18.75">
      <c r="A27" s="392"/>
      <c r="B27" s="38">
        <f t="shared" si="0"/>
        <v>22</v>
      </c>
      <c r="C27" s="336">
        <f>IF(CAPA!D30="","",CAPA!D30)</f>
        <v>25</v>
      </c>
      <c r="D27" s="336">
        <f>IF(CAPA!E30="","",CAPA!E30)</f>
        <v>21</v>
      </c>
      <c r="E27" s="336" t="str">
        <f>IF(CAPA!F30="","",CAPA!F30)</f>
        <v>D-areia argilosa</v>
      </c>
      <c r="F27" s="27"/>
      <c r="G27" s="44"/>
      <c r="H27" s="27"/>
      <c r="I27" s="27"/>
      <c r="J27" s="335"/>
      <c r="K27" s="335"/>
      <c r="L27" s="152"/>
      <c r="M27" s="27"/>
      <c r="N27" s="27"/>
    </row>
    <row r="28" spans="1:17" ht="18.75">
      <c r="A28" s="392"/>
      <c r="B28" s="38">
        <f t="shared" si="0"/>
        <v>23</v>
      </c>
      <c r="C28" s="336">
        <f>IF(CAPA!D31="","",CAPA!D31)</f>
        <v>30</v>
      </c>
      <c r="D28" s="336">
        <f>IF(CAPA!E31="","",CAPA!E31)</f>
        <v>21</v>
      </c>
      <c r="E28" s="336" t="str">
        <f>IF(CAPA!F31="","",CAPA!F31)</f>
        <v>D-areia argilosa</v>
      </c>
      <c r="F28" s="27"/>
      <c r="G28" s="44"/>
      <c r="H28" s="27"/>
      <c r="I28" s="27"/>
      <c r="J28" s="335"/>
      <c r="K28" s="335"/>
      <c r="L28" s="27"/>
      <c r="M28" s="27"/>
      <c r="N28" s="27"/>
    </row>
    <row r="29" spans="1:17" ht="18.75">
      <c r="A29" s="392"/>
      <c r="B29" s="38">
        <f t="shared" si="0"/>
        <v>24</v>
      </c>
      <c r="C29" s="336">
        <f>IF(CAPA!D32="","",CAPA!D32)</f>
        <v>37</v>
      </c>
      <c r="D29" s="336">
        <f>IF(CAPA!E32="","",CAPA!E32)</f>
        <v>21</v>
      </c>
      <c r="E29" s="336" t="str">
        <f>IF(CAPA!F32="","",CAPA!F32)</f>
        <v>D-areia argilosa</v>
      </c>
      <c r="F29" s="27"/>
      <c r="G29" s="44"/>
      <c r="H29" s="27"/>
      <c r="I29" s="27"/>
      <c r="J29" s="27"/>
      <c r="K29" s="27"/>
      <c r="L29" s="27"/>
      <c r="M29" s="27"/>
      <c r="N29" s="27"/>
    </row>
    <row r="30" spans="1:17" ht="18.75">
      <c r="A30" s="392"/>
      <c r="B30" s="38">
        <f t="shared" si="0"/>
        <v>25</v>
      </c>
      <c r="C30" s="336" t="str">
        <f>IF(CAPA!D33="","",CAPA!D33)</f>
        <v/>
      </c>
      <c r="D30" s="336" t="str">
        <f>IF(CAPA!E33="","",CAPA!E33)</f>
        <v/>
      </c>
      <c r="E30" s="336" t="str">
        <f>IF(CAPA!F33="","",CAPA!F33)</f>
        <v/>
      </c>
      <c r="F30" s="27"/>
      <c r="G30" s="44"/>
      <c r="H30" s="27"/>
      <c r="I30" s="27"/>
      <c r="J30" s="27"/>
      <c r="K30" s="27"/>
      <c r="L30" s="27"/>
      <c r="M30" s="27"/>
      <c r="N30" s="27"/>
    </row>
    <row r="31" spans="1:17" ht="18.75">
      <c r="A31" s="392"/>
      <c r="B31" s="38">
        <f t="shared" si="0"/>
        <v>26</v>
      </c>
      <c r="C31" s="336" t="str">
        <f>IF(CAPA!D34="","",CAPA!D34)</f>
        <v/>
      </c>
      <c r="D31" s="336" t="str">
        <f>IF(CAPA!E34="","",CAPA!E34)</f>
        <v/>
      </c>
      <c r="E31" s="336" t="str">
        <f>IF(CAPA!F34="","",CAPA!F34)</f>
        <v/>
      </c>
      <c r="F31" s="27"/>
      <c r="G31" s="393"/>
      <c r="H31" s="337"/>
      <c r="I31" s="394"/>
      <c r="J31" s="394"/>
      <c r="K31" s="27"/>
      <c r="L31" s="27"/>
      <c r="M31" s="27"/>
      <c r="N31" s="27"/>
    </row>
    <row r="32" spans="1:17" ht="18.75">
      <c r="A32" s="392"/>
      <c r="B32" s="38">
        <f t="shared" si="0"/>
        <v>27</v>
      </c>
      <c r="C32" s="336" t="str">
        <f>IF(CAPA!D35="","",CAPA!D35)</f>
        <v/>
      </c>
      <c r="D32" s="336" t="str">
        <f>IF(CAPA!E35="","",CAPA!E35)</f>
        <v/>
      </c>
      <c r="E32" s="336" t="str">
        <f>IF(CAPA!F35="","",CAPA!F35)</f>
        <v/>
      </c>
      <c r="F32" s="27"/>
      <c r="G32" s="393"/>
      <c r="H32" s="337"/>
      <c r="I32" s="27"/>
      <c r="J32" s="337"/>
      <c r="K32" s="27"/>
      <c r="L32" s="27"/>
      <c r="M32" s="27"/>
      <c r="N32" s="27"/>
    </row>
    <row r="33" spans="1:14" ht="18.75">
      <c r="A33" s="392"/>
      <c r="B33" s="38">
        <f t="shared" si="0"/>
        <v>28</v>
      </c>
      <c r="C33" s="336" t="str">
        <f>IF(CAPA!D36="","",CAPA!D36)</f>
        <v/>
      </c>
      <c r="D33" s="336" t="str">
        <f>IF(CAPA!E36="","",CAPA!E36)</f>
        <v/>
      </c>
      <c r="E33" s="336" t="str">
        <f>IF(CAPA!F36="","",CAPA!F36)</f>
        <v/>
      </c>
      <c r="F33" s="27"/>
      <c r="G33" s="338"/>
      <c r="H33" s="339"/>
      <c r="I33" s="27"/>
      <c r="J33" s="337"/>
      <c r="K33" s="27"/>
      <c r="L33" s="27"/>
      <c r="M33" s="27"/>
      <c r="N33" s="27"/>
    </row>
    <row r="34" spans="1:14" ht="18.75">
      <c r="A34" s="392"/>
      <c r="B34" s="38">
        <f t="shared" si="0"/>
        <v>29</v>
      </c>
      <c r="C34" s="336" t="str">
        <f>IF(CAPA!D37="","",CAPA!D37)</f>
        <v/>
      </c>
      <c r="D34" s="336" t="str">
        <f>IF(CAPA!E37="","",CAPA!E37)</f>
        <v/>
      </c>
      <c r="E34" s="336" t="str">
        <f>IF(CAPA!F37="","",CAPA!F37)</f>
        <v/>
      </c>
      <c r="F34" s="27"/>
      <c r="G34" s="338"/>
      <c r="H34" s="339"/>
      <c r="I34" s="27"/>
      <c r="J34" s="337"/>
      <c r="K34" s="27"/>
      <c r="L34" s="27"/>
      <c r="M34" s="27"/>
      <c r="N34" s="27"/>
    </row>
    <row r="35" spans="1:14" ht="18.75">
      <c r="A35" s="392"/>
      <c r="B35" s="38">
        <f t="shared" si="0"/>
        <v>30</v>
      </c>
      <c r="C35" s="336" t="str">
        <f>IF(CAPA!D38="","",CAPA!D38)</f>
        <v/>
      </c>
      <c r="D35" s="336" t="str">
        <f>IF(CAPA!E38="","",CAPA!E38)</f>
        <v/>
      </c>
      <c r="E35" s="336" t="str">
        <f>IF(CAPA!F38="","",CAPA!F38)</f>
        <v/>
      </c>
      <c r="F35" s="27"/>
      <c r="G35" s="338"/>
      <c r="H35" s="339"/>
      <c r="I35" s="27"/>
      <c r="J35" s="337"/>
      <c r="K35" s="27"/>
      <c r="L35" s="27"/>
      <c r="M35" s="27"/>
      <c r="N35" s="27"/>
    </row>
    <row r="36" spans="1:14" ht="18.75">
      <c r="A36" s="392"/>
      <c r="B36" s="38">
        <f t="shared" si="0"/>
        <v>31</v>
      </c>
      <c r="C36" s="336" t="str">
        <f>IF(CAPA!D39="","",CAPA!D39)</f>
        <v/>
      </c>
      <c r="D36" s="336" t="str">
        <f>IF(CAPA!E39="","",CAPA!E39)</f>
        <v/>
      </c>
      <c r="E36" s="336" t="str">
        <f>IF(CAPA!F39="","",CAPA!F39)</f>
        <v/>
      </c>
      <c r="F36" s="27"/>
      <c r="G36" s="338"/>
      <c r="H36" s="339"/>
      <c r="I36" s="27"/>
      <c r="J36" s="337"/>
      <c r="K36" s="27"/>
      <c r="L36" s="27"/>
      <c r="M36" s="27"/>
      <c r="N36" s="27"/>
    </row>
    <row r="37" spans="1:14" ht="18.75">
      <c r="A37" s="392"/>
      <c r="B37" s="38">
        <f t="shared" si="0"/>
        <v>32</v>
      </c>
      <c r="C37" s="336" t="str">
        <f>IF(CAPA!D40="","",CAPA!D40)</f>
        <v/>
      </c>
      <c r="D37" s="336" t="str">
        <f>IF(CAPA!E40="","",CAPA!E40)</f>
        <v/>
      </c>
      <c r="E37" s="336" t="str">
        <f>IF(CAPA!F40="","",CAPA!F40)</f>
        <v/>
      </c>
      <c r="F37" s="27"/>
      <c r="G37" s="338"/>
      <c r="H37" s="339"/>
      <c r="I37" s="27"/>
      <c r="J37" s="337"/>
      <c r="K37" s="27"/>
      <c r="L37" s="27"/>
      <c r="M37" s="27"/>
      <c r="N37" s="27"/>
    </row>
    <row r="38" spans="1:14" ht="18.75">
      <c r="A38" s="392"/>
      <c r="B38" s="38">
        <f t="shared" si="0"/>
        <v>33</v>
      </c>
      <c r="C38" s="336" t="str">
        <f>IF(CAPA!D41="","",CAPA!D41)</f>
        <v/>
      </c>
      <c r="D38" s="336" t="str">
        <f>IF(CAPA!E41="","",CAPA!E41)</f>
        <v/>
      </c>
      <c r="E38" s="336" t="str">
        <f>IF(CAPA!F41="","",CAPA!F41)</f>
        <v/>
      </c>
      <c r="F38" s="27"/>
      <c r="G38" s="338"/>
      <c r="H38" s="339"/>
      <c r="I38" s="27"/>
      <c r="J38" s="337"/>
      <c r="K38" s="27"/>
      <c r="L38" s="27"/>
      <c r="M38" s="27"/>
      <c r="N38" s="27"/>
    </row>
    <row r="39" spans="1:14" ht="18.75">
      <c r="A39" s="392"/>
      <c r="B39" s="38">
        <f t="shared" si="0"/>
        <v>34</v>
      </c>
      <c r="C39" s="336" t="str">
        <f>IF(CAPA!D42="","",CAPA!D42)</f>
        <v/>
      </c>
      <c r="D39" s="336" t="str">
        <f>IF(CAPA!E42="","",CAPA!E42)</f>
        <v/>
      </c>
      <c r="E39" s="336" t="str">
        <f>IF(CAPA!F42="","",CAPA!F42)</f>
        <v/>
      </c>
      <c r="F39" s="27"/>
      <c r="G39" s="338"/>
      <c r="H39" s="339"/>
      <c r="I39" s="27"/>
      <c r="J39" s="337"/>
      <c r="K39" s="27"/>
      <c r="L39" s="27"/>
      <c r="M39" s="27"/>
      <c r="N39" s="27"/>
    </row>
    <row r="40" spans="1:14" ht="18.75">
      <c r="A40" s="392"/>
      <c r="B40" s="38">
        <f t="shared" si="0"/>
        <v>35</v>
      </c>
      <c r="C40" s="336" t="str">
        <f>IF(CAPA!D43="","",CAPA!D43)</f>
        <v/>
      </c>
      <c r="D40" s="336" t="str">
        <f>IF(CAPA!E43="","",CAPA!E43)</f>
        <v/>
      </c>
      <c r="E40" s="336" t="str">
        <f>IF(CAPA!F43="","",CAPA!F43)</f>
        <v/>
      </c>
      <c r="F40" s="27"/>
      <c r="G40" s="338"/>
      <c r="H40" s="339"/>
      <c r="I40" s="27"/>
      <c r="J40" s="337"/>
      <c r="K40" s="27"/>
      <c r="L40" s="27"/>
      <c r="M40" s="27"/>
      <c r="N40" s="27"/>
    </row>
    <row r="41" spans="1:14" ht="18.75">
      <c r="A41" s="392"/>
      <c r="B41" s="38">
        <f t="shared" si="0"/>
        <v>36</v>
      </c>
      <c r="C41" s="336" t="str">
        <f>IF(CAPA!D44="","",CAPA!D44)</f>
        <v/>
      </c>
      <c r="D41" s="336" t="str">
        <f>IF(CAPA!E44="","",CAPA!E44)</f>
        <v/>
      </c>
      <c r="E41" s="336" t="str">
        <f>IF(CAPA!F44="","",CAPA!F44)</f>
        <v/>
      </c>
      <c r="F41" s="27"/>
      <c r="G41" s="338"/>
      <c r="H41" s="339"/>
      <c r="I41" s="27"/>
      <c r="J41" s="337"/>
      <c r="K41" s="27"/>
      <c r="L41" s="27"/>
      <c r="M41" s="27"/>
      <c r="N41" s="27"/>
    </row>
    <row r="42" spans="1:14" ht="18.75">
      <c r="A42" s="392"/>
      <c r="B42" s="38">
        <f t="shared" si="0"/>
        <v>37</v>
      </c>
      <c r="C42" s="336" t="str">
        <f>IF(CAPA!D45="","",CAPA!D45)</f>
        <v/>
      </c>
      <c r="D42" s="336" t="str">
        <f>IF(CAPA!E45="","",CAPA!E45)</f>
        <v/>
      </c>
      <c r="E42" s="336" t="str">
        <f>IF(CAPA!F45="","",CAPA!F45)</f>
        <v/>
      </c>
      <c r="F42" s="27"/>
      <c r="G42" s="338"/>
      <c r="H42" s="339"/>
      <c r="I42" s="27"/>
      <c r="J42" s="337"/>
      <c r="K42" s="27"/>
      <c r="L42" s="27"/>
      <c r="M42" s="27"/>
      <c r="N42" s="27"/>
    </row>
    <row r="43" spans="1:14" ht="18.75">
      <c r="A43" s="392"/>
      <c r="B43" s="38">
        <f t="shared" si="0"/>
        <v>38</v>
      </c>
      <c r="C43" s="336" t="str">
        <f>IF(CAPA!D46="","",CAPA!D46)</f>
        <v/>
      </c>
      <c r="D43" s="336" t="str">
        <f>IF(CAPA!E46="","",CAPA!E46)</f>
        <v/>
      </c>
      <c r="E43" s="336" t="str">
        <f>IF(CAPA!F46="","",CAPA!F46)</f>
        <v/>
      </c>
      <c r="F43" s="27"/>
      <c r="G43" s="338"/>
      <c r="H43" s="339"/>
      <c r="I43" s="27"/>
      <c r="J43" s="337"/>
      <c r="K43" s="27"/>
      <c r="L43" s="27"/>
      <c r="M43" s="27"/>
      <c r="N43" s="27"/>
    </row>
    <row r="44" spans="1:14" ht="18.75">
      <c r="A44" s="392"/>
      <c r="B44" s="38">
        <f t="shared" si="0"/>
        <v>39</v>
      </c>
      <c r="C44" s="336" t="str">
        <f>IF(CAPA!D47="","",CAPA!D47)</f>
        <v/>
      </c>
      <c r="D44" s="336" t="str">
        <f>IF(CAPA!E47="","",CAPA!E47)</f>
        <v/>
      </c>
      <c r="E44" s="336" t="str">
        <f>IF(CAPA!F47="","",CAPA!F47)</f>
        <v/>
      </c>
      <c r="F44" s="27"/>
      <c r="G44" s="338"/>
      <c r="H44" s="339"/>
      <c r="I44" s="27"/>
      <c r="J44" s="337"/>
      <c r="K44" s="27"/>
      <c r="L44" s="27"/>
      <c r="M44" s="27"/>
      <c r="N44" s="27"/>
    </row>
    <row r="45" spans="1:14" ht="18.75">
      <c r="A45" s="392"/>
      <c r="B45" s="38">
        <f t="shared" si="0"/>
        <v>40</v>
      </c>
      <c r="C45" s="336" t="str">
        <f>IF(CAPA!D48="","",CAPA!D48)</f>
        <v/>
      </c>
      <c r="D45" s="336" t="str">
        <f>IF(CAPA!E48="","",CAPA!E48)</f>
        <v/>
      </c>
      <c r="E45" s="336" t="str">
        <f>IF(CAPA!F48="","",CAPA!F48)</f>
        <v/>
      </c>
      <c r="F45" s="27"/>
      <c r="G45" s="338"/>
      <c r="H45" s="339"/>
      <c r="I45" s="27"/>
      <c r="J45" s="337"/>
      <c r="K45" s="27"/>
      <c r="L45" s="27"/>
      <c r="M45" s="27"/>
      <c r="N45" s="27"/>
    </row>
    <row r="46" spans="1:14" ht="18.75">
      <c r="A46" s="392"/>
      <c r="B46" s="38">
        <f t="shared" si="0"/>
        <v>41</v>
      </c>
      <c r="C46" s="336" t="str">
        <f>IF(CAPA!D49="","",CAPA!D49)</f>
        <v/>
      </c>
      <c r="D46" s="336" t="str">
        <f>IF(CAPA!E49="","",CAPA!E49)</f>
        <v/>
      </c>
      <c r="E46" s="336" t="str">
        <f>IF(CAPA!F49="","",CAPA!F49)</f>
        <v/>
      </c>
      <c r="F46" s="27"/>
      <c r="G46" s="338"/>
      <c r="H46" s="339"/>
      <c r="I46" s="27"/>
      <c r="J46" s="337"/>
      <c r="K46" s="27"/>
      <c r="L46" s="27"/>
      <c r="M46" s="27"/>
      <c r="N46" s="27"/>
    </row>
    <row r="47" spans="1:14" ht="18.75">
      <c r="A47" s="392"/>
      <c r="B47" s="38">
        <f t="shared" si="0"/>
        <v>42</v>
      </c>
      <c r="C47" s="336" t="str">
        <f>IF(CAPA!D50="","",CAPA!D50)</f>
        <v/>
      </c>
      <c r="D47" s="336" t="str">
        <f>IF(CAPA!E50="","",CAPA!E50)</f>
        <v/>
      </c>
      <c r="E47" s="336" t="str">
        <f>IF(CAPA!F50="","",CAPA!F50)</f>
        <v/>
      </c>
      <c r="F47" s="27"/>
      <c r="G47" s="338"/>
      <c r="H47" s="339"/>
      <c r="I47" s="27"/>
      <c r="J47" s="337"/>
      <c r="K47" s="27"/>
      <c r="L47" s="27"/>
      <c r="M47" s="27"/>
      <c r="N47" s="27"/>
    </row>
    <row r="48" spans="1:14" ht="18.75">
      <c r="A48" s="392"/>
      <c r="B48" s="38">
        <f t="shared" si="0"/>
        <v>43</v>
      </c>
      <c r="C48" s="336" t="str">
        <f>IF(CAPA!D51="","",CAPA!D51)</f>
        <v/>
      </c>
      <c r="D48" s="336" t="str">
        <f>IF(CAPA!E51="","",CAPA!E51)</f>
        <v/>
      </c>
      <c r="E48" s="336" t="str">
        <f>IF(CAPA!F51="","",CAPA!F51)</f>
        <v/>
      </c>
      <c r="F48" s="27"/>
      <c r="G48" s="44"/>
      <c r="H48" s="27"/>
      <c r="I48" s="27"/>
      <c r="J48" s="27"/>
      <c r="K48" s="27"/>
      <c r="L48" s="27"/>
      <c r="M48" s="27"/>
      <c r="N48" s="27"/>
    </row>
    <row r="49" spans="1:14" ht="18.75">
      <c r="A49" s="392"/>
      <c r="B49" s="38">
        <f t="shared" si="0"/>
        <v>44</v>
      </c>
      <c r="C49" s="336" t="str">
        <f>IF(CAPA!D52="","",CAPA!D52)</f>
        <v/>
      </c>
      <c r="D49" s="336" t="str">
        <f>IF(CAPA!E52="","",CAPA!E52)</f>
        <v/>
      </c>
      <c r="E49" s="336" t="str">
        <f>IF(CAPA!F52="","",CAPA!F52)</f>
        <v/>
      </c>
      <c r="F49" s="27"/>
      <c r="G49" s="44"/>
      <c r="H49" s="27"/>
      <c r="I49" s="27"/>
      <c r="J49" s="27"/>
      <c r="K49" s="27"/>
      <c r="L49" s="27"/>
      <c r="M49" s="27"/>
      <c r="N49" s="27"/>
    </row>
    <row r="50" spans="1:14" ht="18.75">
      <c r="A50" s="392"/>
      <c r="B50" s="38">
        <f t="shared" si="0"/>
        <v>45</v>
      </c>
      <c r="C50" s="336" t="str">
        <f>IF(CAPA!D53="","",CAPA!D53)</f>
        <v/>
      </c>
      <c r="D50" s="336" t="str">
        <f>IF(CAPA!E53="","",CAPA!E53)</f>
        <v/>
      </c>
      <c r="E50" s="336" t="str">
        <f>IF(CAPA!F53="","",CAPA!F53)</f>
        <v/>
      </c>
      <c r="F50" s="27"/>
      <c r="G50" s="44"/>
      <c r="H50" s="27"/>
      <c r="I50" s="27"/>
      <c r="J50" s="27"/>
      <c r="K50" s="27"/>
      <c r="L50" s="27"/>
      <c r="M50" s="27"/>
      <c r="N50" s="27"/>
    </row>
    <row r="51" spans="1:14" ht="18.75">
      <c r="A51" s="392"/>
      <c r="B51" s="38">
        <f t="shared" si="0"/>
        <v>46</v>
      </c>
      <c r="C51" s="336" t="str">
        <f>IF(CAPA!D54="","",CAPA!D54)</f>
        <v/>
      </c>
      <c r="D51" s="336" t="str">
        <f>IF(CAPA!E54="","",CAPA!E54)</f>
        <v/>
      </c>
      <c r="E51" s="336" t="str">
        <f>IF(CAPA!F54="","",CAPA!F54)</f>
        <v/>
      </c>
      <c r="F51" s="27"/>
      <c r="G51" s="44"/>
      <c r="H51" s="27"/>
      <c r="I51" s="27"/>
      <c r="J51" s="27"/>
      <c r="K51" s="27"/>
      <c r="L51" s="27"/>
      <c r="M51" s="27"/>
      <c r="N51" s="27"/>
    </row>
    <row r="52" spans="1:14" ht="18.75">
      <c r="A52" s="392"/>
      <c r="B52" s="38">
        <f t="shared" si="0"/>
        <v>47</v>
      </c>
      <c r="C52" s="336" t="str">
        <f>IF(CAPA!D55="","",CAPA!D55)</f>
        <v/>
      </c>
      <c r="D52" s="336" t="str">
        <f>IF(CAPA!E55="","",CAPA!E55)</f>
        <v/>
      </c>
      <c r="E52" s="336" t="str">
        <f>IF(CAPA!F55="","",CAPA!F55)</f>
        <v/>
      </c>
      <c r="F52" s="27"/>
      <c r="G52" s="44"/>
      <c r="H52" s="27"/>
      <c r="I52" s="27"/>
      <c r="J52" s="27"/>
      <c r="K52" s="27"/>
      <c r="L52" s="27"/>
      <c r="M52" s="27"/>
      <c r="N52" s="27"/>
    </row>
    <row r="53" spans="1:14" ht="18.75">
      <c r="A53" s="392"/>
      <c r="B53" s="38">
        <f t="shared" si="0"/>
        <v>48</v>
      </c>
      <c r="C53" s="336" t="str">
        <f>IF(CAPA!D56="","",CAPA!D56)</f>
        <v/>
      </c>
      <c r="D53" s="336" t="str">
        <f>IF(CAPA!E56="","",CAPA!E56)</f>
        <v/>
      </c>
      <c r="E53" s="336" t="str">
        <f>IF(CAPA!F56="","",CAPA!F56)</f>
        <v/>
      </c>
      <c r="F53" s="27"/>
      <c r="G53" s="44"/>
      <c r="H53" s="27"/>
      <c r="I53" s="27"/>
      <c r="J53" s="27"/>
      <c r="K53" s="27"/>
      <c r="L53" s="27"/>
      <c r="M53" s="27"/>
      <c r="N53" s="27"/>
    </row>
    <row r="54" spans="1:14" ht="18.75">
      <c r="A54" s="392"/>
      <c r="B54" s="38">
        <f t="shared" si="0"/>
        <v>49</v>
      </c>
      <c r="C54" s="336" t="str">
        <f>IF(CAPA!D57="","",CAPA!D57)</f>
        <v/>
      </c>
      <c r="D54" s="336" t="str">
        <f>IF(CAPA!E57="","",CAPA!E57)</f>
        <v/>
      </c>
      <c r="E54" s="336" t="str">
        <f>IF(CAPA!F57="","",CAPA!F57)</f>
        <v/>
      </c>
      <c r="F54" s="27"/>
      <c r="G54" s="44"/>
      <c r="H54" s="27"/>
      <c r="I54" s="27"/>
      <c r="J54" s="27"/>
      <c r="K54" s="27"/>
      <c r="L54" s="27"/>
      <c r="M54" s="27"/>
      <c r="N54" s="27"/>
    </row>
    <row r="55" spans="1:14" hidden="1">
      <c r="A55" s="335"/>
      <c r="B55" s="335"/>
      <c r="C55" s="335"/>
      <c r="D55" s="335"/>
      <c r="E55" s="335"/>
      <c r="F55" s="335"/>
      <c r="G55" s="335"/>
      <c r="H55" s="335"/>
      <c r="I55" s="335"/>
      <c r="J55" s="335"/>
      <c r="K55" s="335"/>
      <c r="L55" s="335"/>
      <c r="M55" s="335"/>
      <c r="N55" s="335"/>
    </row>
    <row r="56" spans="1:14" hidden="1">
      <c r="A56" s="335"/>
      <c r="B56" s="335"/>
      <c r="C56" s="335"/>
      <c r="D56" s="335"/>
      <c r="E56" s="335"/>
      <c r="F56" s="335"/>
      <c r="G56" s="335"/>
      <c r="H56" s="335"/>
      <c r="I56" s="335"/>
      <c r="J56" s="335"/>
      <c r="K56" s="335"/>
      <c r="L56" s="335"/>
      <c r="M56" s="335"/>
      <c r="N56" s="335"/>
    </row>
    <row r="57" spans="1:14" hidden="1">
      <c r="A57" s="335"/>
      <c r="B57" s="335"/>
      <c r="C57" s="335"/>
      <c r="D57" s="335"/>
      <c r="E57" s="335"/>
      <c r="F57" s="335"/>
      <c r="G57" s="335"/>
      <c r="H57" s="335"/>
      <c r="I57" s="335"/>
      <c r="J57" s="335"/>
      <c r="K57" s="335"/>
      <c r="L57" s="335"/>
      <c r="M57" s="335"/>
      <c r="N57" s="335"/>
    </row>
    <row r="58" spans="1:14" hidden="1">
      <c r="A58" s="335"/>
      <c r="B58" s="335"/>
      <c r="C58" s="335"/>
      <c r="D58" s="335"/>
      <c r="E58" s="335"/>
      <c r="F58" s="335"/>
      <c r="G58" s="335"/>
      <c r="H58" s="335"/>
      <c r="I58" s="335"/>
      <c r="J58" s="335"/>
      <c r="K58" s="335"/>
      <c r="L58" s="335"/>
      <c r="M58" s="335"/>
      <c r="N58" s="335"/>
    </row>
    <row r="59" spans="1:14" hidden="1">
      <c r="A59" s="335"/>
      <c r="B59" s="335"/>
      <c r="C59" s="335"/>
      <c r="D59" s="335"/>
      <c r="E59" s="335"/>
      <c r="F59" s="335"/>
      <c r="G59" s="335"/>
      <c r="H59" s="335"/>
      <c r="I59" s="335"/>
      <c r="J59" s="335"/>
      <c r="K59" s="335"/>
      <c r="L59" s="335"/>
      <c r="M59" s="335"/>
      <c r="N59" s="335"/>
    </row>
    <row r="60" spans="1:14" hidden="1">
      <c r="A60" s="335"/>
      <c r="B60" s="335"/>
      <c r="C60" s="335"/>
      <c r="D60" s="335"/>
      <c r="E60" s="335"/>
      <c r="F60" s="335"/>
      <c r="G60" s="335"/>
      <c r="H60" s="335"/>
      <c r="I60" s="335"/>
      <c r="J60" s="335"/>
      <c r="K60" s="335"/>
      <c r="L60" s="335"/>
      <c r="M60" s="335"/>
      <c r="N60" s="335"/>
    </row>
    <row r="61" spans="1:14" hidden="1">
      <c r="A61" s="335"/>
      <c r="B61" s="335"/>
      <c r="C61" s="335"/>
      <c r="D61" s="335"/>
      <c r="E61" s="335"/>
      <c r="F61" s="335"/>
      <c r="G61" s="335"/>
      <c r="H61" s="335"/>
      <c r="I61" s="335"/>
      <c r="J61" s="335"/>
      <c r="K61" s="335"/>
      <c r="L61" s="335"/>
      <c r="M61" s="335"/>
      <c r="N61" s="335"/>
    </row>
    <row r="62" spans="1:14" hidden="1">
      <c r="A62" s="335"/>
      <c r="B62" s="335"/>
      <c r="C62" s="335"/>
      <c r="D62" s="335"/>
      <c r="E62" s="335"/>
      <c r="F62" s="335"/>
      <c r="G62" s="335"/>
      <c r="H62" s="335"/>
      <c r="I62" s="335"/>
      <c r="J62" s="335"/>
      <c r="K62" s="335"/>
      <c r="L62" s="335"/>
      <c r="M62" s="335"/>
      <c r="N62" s="335"/>
    </row>
    <row r="63" spans="1:14" hidden="1">
      <c r="A63" s="335"/>
      <c r="B63" s="335"/>
      <c r="C63" s="335"/>
      <c r="D63" s="335"/>
      <c r="E63" s="335"/>
      <c r="F63" s="335"/>
      <c r="G63" s="335"/>
      <c r="H63" s="335"/>
      <c r="I63" s="335"/>
      <c r="J63" s="335"/>
      <c r="K63" s="335"/>
      <c r="L63" s="335"/>
      <c r="M63" s="335"/>
      <c r="N63" s="335"/>
    </row>
    <row r="64" spans="1:14" hidden="1">
      <c r="A64" s="335"/>
      <c r="B64" s="335"/>
      <c r="C64" s="335"/>
      <c r="D64" s="335"/>
      <c r="E64" s="335"/>
      <c r="F64" s="335"/>
      <c r="G64" s="335"/>
      <c r="H64" s="335"/>
      <c r="I64" s="335"/>
      <c r="J64" s="335"/>
      <c r="K64" s="335"/>
      <c r="L64" s="335"/>
      <c r="M64" s="335"/>
      <c r="N64" s="335"/>
    </row>
    <row r="65" spans="1:14" hidden="1">
      <c r="A65" s="335"/>
      <c r="B65" s="335"/>
      <c r="C65" s="335"/>
      <c r="D65" s="335"/>
      <c r="E65" s="335"/>
      <c r="F65" s="335"/>
      <c r="G65" s="335"/>
      <c r="H65" s="335"/>
      <c r="I65" s="335"/>
      <c r="J65" s="335"/>
      <c r="K65" s="335"/>
      <c r="L65" s="335"/>
      <c r="M65" s="335"/>
      <c r="N65" s="335"/>
    </row>
    <row r="66" spans="1:14" hidden="1">
      <c r="A66" s="335"/>
      <c r="B66" s="335"/>
      <c r="C66" s="335"/>
      <c r="D66" s="335"/>
      <c r="E66" s="335"/>
      <c r="F66" s="335"/>
      <c r="G66" s="335"/>
      <c r="H66" s="335"/>
      <c r="I66" s="335"/>
      <c r="J66" s="335"/>
      <c r="K66" s="335"/>
      <c r="L66" s="335"/>
      <c r="M66" s="335"/>
      <c r="N66" s="335"/>
    </row>
    <row r="67" spans="1:14" hidden="1">
      <c r="A67" s="335"/>
      <c r="B67" s="335"/>
      <c r="C67" s="335"/>
      <c r="D67" s="335"/>
      <c r="E67" s="335"/>
      <c r="F67" s="335"/>
      <c r="G67" s="335"/>
      <c r="H67" s="335"/>
      <c r="I67" s="335"/>
      <c r="J67" s="335"/>
      <c r="K67" s="335"/>
      <c r="L67" s="335"/>
      <c r="M67" s="335"/>
      <c r="N67" s="335"/>
    </row>
    <row r="68" spans="1:14" hidden="1">
      <c r="A68" s="335"/>
      <c r="B68" s="335"/>
      <c r="C68" s="335"/>
      <c r="D68" s="335"/>
      <c r="E68" s="335"/>
      <c r="F68" s="335"/>
      <c r="G68" s="335"/>
      <c r="H68" s="335"/>
      <c r="I68" s="335"/>
      <c r="J68" s="335"/>
      <c r="K68" s="335"/>
      <c r="L68" s="335"/>
      <c r="M68" s="335"/>
      <c r="N68" s="335"/>
    </row>
    <row r="69" spans="1:14" hidden="1">
      <c r="A69" s="335"/>
      <c r="B69" s="335"/>
      <c r="C69" s="335"/>
      <c r="D69" s="335"/>
      <c r="E69" s="335"/>
      <c r="F69" s="335"/>
      <c r="G69" s="335"/>
      <c r="H69" s="335"/>
      <c r="I69" s="335"/>
      <c r="J69" s="335"/>
      <c r="K69" s="335"/>
      <c r="L69" s="335"/>
      <c r="M69" s="335"/>
      <c r="N69" s="335"/>
    </row>
    <row r="70" spans="1:14" hidden="1">
      <c r="A70" s="335"/>
      <c r="B70" s="335"/>
      <c r="C70" s="335"/>
      <c r="D70" s="335"/>
      <c r="E70" s="335"/>
      <c r="F70" s="335"/>
      <c r="G70" s="335"/>
      <c r="H70" s="335"/>
      <c r="I70" s="335"/>
      <c r="J70" s="335"/>
      <c r="K70" s="335"/>
      <c r="L70" s="335"/>
      <c r="M70" s="335"/>
      <c r="N70" s="335"/>
    </row>
    <row r="71" spans="1:14" hidden="1">
      <c r="A71" s="335"/>
      <c r="B71" s="335"/>
      <c r="C71" s="335"/>
      <c r="D71" s="335"/>
      <c r="E71" s="335"/>
      <c r="F71" s="335"/>
      <c r="G71" s="335"/>
      <c r="H71" s="335"/>
      <c r="I71" s="335"/>
      <c r="J71" s="335"/>
      <c r="K71" s="335"/>
      <c r="L71" s="335"/>
      <c r="M71" s="335"/>
      <c r="N71" s="335"/>
    </row>
    <row r="72" spans="1:14" hidden="1">
      <c r="A72" s="335"/>
      <c r="B72" s="335"/>
      <c r="C72" s="335"/>
      <c r="D72" s="335"/>
      <c r="E72" s="335"/>
      <c r="F72" s="335"/>
      <c r="G72" s="335"/>
      <c r="H72" s="335"/>
      <c r="I72" s="335"/>
      <c r="J72" s="335"/>
      <c r="K72" s="335"/>
      <c r="L72" s="335"/>
      <c r="M72" s="335"/>
      <c r="N72" s="335"/>
    </row>
    <row r="73" spans="1:14" hidden="1">
      <c r="A73" s="335"/>
      <c r="B73" s="335"/>
      <c r="C73" s="335"/>
      <c r="D73" s="335"/>
      <c r="E73" s="335"/>
      <c r="F73" s="335"/>
      <c r="G73" s="335"/>
      <c r="H73" s="335"/>
      <c r="I73" s="335"/>
      <c r="J73" s="335"/>
      <c r="K73" s="335"/>
      <c r="L73" s="335"/>
      <c r="M73" s="335"/>
      <c r="N73" s="335"/>
    </row>
    <row r="74" spans="1:14" hidden="1">
      <c r="A74" s="335"/>
      <c r="B74" s="335"/>
      <c r="C74" s="335"/>
      <c r="D74" s="335"/>
      <c r="E74" s="335"/>
      <c r="F74" s="335"/>
      <c r="G74" s="335"/>
      <c r="H74" s="335"/>
      <c r="I74" s="335"/>
      <c r="J74" s="335"/>
      <c r="K74" s="335"/>
      <c r="L74" s="335"/>
      <c r="M74" s="335"/>
      <c r="N74" s="335"/>
    </row>
    <row r="75" spans="1:14" hidden="1">
      <c r="A75" s="335"/>
      <c r="B75" s="335"/>
      <c r="C75" s="335"/>
      <c r="D75" s="335"/>
      <c r="E75" s="335"/>
      <c r="F75" s="335"/>
      <c r="G75" s="335"/>
      <c r="H75" s="335"/>
      <c r="I75" s="335"/>
      <c r="J75" s="335"/>
      <c r="K75" s="335"/>
      <c r="L75" s="335"/>
      <c r="M75" s="335"/>
      <c r="N75" s="335"/>
    </row>
    <row r="76" spans="1:14" hidden="1">
      <c r="A76" s="335"/>
      <c r="B76" s="335"/>
      <c r="C76" s="335"/>
      <c r="D76" s="335"/>
      <c r="E76" s="335"/>
      <c r="F76" s="335"/>
      <c r="G76" s="335"/>
      <c r="H76" s="335"/>
      <c r="I76" s="335"/>
      <c r="J76" s="335"/>
      <c r="K76" s="335"/>
      <c r="L76" s="335"/>
      <c r="M76" s="335"/>
      <c r="N76" s="335"/>
    </row>
    <row r="77" spans="1:14" hidden="1">
      <c r="A77" s="335"/>
      <c r="B77" s="335"/>
      <c r="C77" s="335"/>
      <c r="D77" s="335"/>
      <c r="E77" s="335"/>
      <c r="F77" s="335"/>
      <c r="G77" s="335"/>
      <c r="H77" s="335"/>
      <c r="I77" s="335"/>
      <c r="J77" s="335"/>
      <c r="K77" s="335"/>
      <c r="L77" s="335"/>
      <c r="M77" s="335"/>
      <c r="N77" s="335"/>
    </row>
    <row r="78" spans="1:14" hidden="1">
      <c r="A78" s="335"/>
      <c r="B78" s="335"/>
      <c r="C78" s="335"/>
      <c r="D78" s="335"/>
      <c r="E78" s="335"/>
      <c r="F78" s="335"/>
      <c r="G78" s="335"/>
      <c r="H78" s="335"/>
      <c r="I78" s="335"/>
      <c r="J78" s="335"/>
      <c r="K78" s="335"/>
      <c r="L78" s="335"/>
      <c r="M78" s="335"/>
      <c r="N78" s="335"/>
    </row>
    <row r="79" spans="1:14" hidden="1">
      <c r="A79" s="335"/>
      <c r="B79" s="335"/>
      <c r="C79" s="335"/>
      <c r="D79" s="335"/>
      <c r="E79" s="335"/>
      <c r="F79" s="335"/>
      <c r="G79" s="335"/>
      <c r="H79" s="335"/>
      <c r="I79" s="335"/>
      <c r="J79" s="335"/>
      <c r="K79" s="335"/>
      <c r="L79" s="335"/>
      <c r="M79" s="335"/>
      <c r="N79" s="335"/>
    </row>
    <row r="80" spans="1:14" hidden="1">
      <c r="A80" s="335"/>
      <c r="B80" s="335"/>
      <c r="C80" s="335"/>
      <c r="D80" s="335"/>
      <c r="E80" s="335"/>
      <c r="F80" s="335"/>
      <c r="G80" s="335"/>
      <c r="H80" s="335"/>
      <c r="I80" s="335"/>
      <c r="J80" s="335"/>
      <c r="K80" s="335"/>
      <c r="L80" s="335"/>
      <c r="M80" s="335"/>
      <c r="N80" s="335"/>
    </row>
    <row r="81" spans="1:14" hidden="1">
      <c r="A81" s="335"/>
      <c r="B81" s="335"/>
      <c r="C81" s="335"/>
      <c r="D81" s="335"/>
      <c r="E81" s="335"/>
      <c r="F81" s="335"/>
      <c r="G81" s="335"/>
      <c r="H81" s="335"/>
      <c r="I81" s="335"/>
      <c r="J81" s="335"/>
      <c r="K81" s="335"/>
      <c r="L81" s="335"/>
      <c r="M81" s="335"/>
      <c r="N81" s="335"/>
    </row>
    <row r="82" spans="1:14" hidden="1">
      <c r="A82" s="335"/>
      <c r="B82" s="335"/>
      <c r="C82" s="335"/>
      <c r="D82" s="335"/>
      <c r="E82" s="335"/>
      <c r="F82" s="335"/>
      <c r="G82" s="335"/>
      <c r="H82" s="335"/>
      <c r="I82" s="335"/>
      <c r="J82" s="335"/>
      <c r="K82" s="335"/>
      <c r="L82" s="335"/>
      <c r="M82" s="335"/>
      <c r="N82" s="335"/>
    </row>
    <row r="83" spans="1:14" hidden="1">
      <c r="A83" s="335"/>
      <c r="B83" s="335"/>
      <c r="C83" s="335"/>
      <c r="D83" s="335"/>
      <c r="E83" s="335"/>
      <c r="F83" s="335"/>
      <c r="G83" s="335"/>
      <c r="H83" s="335"/>
      <c r="I83" s="335"/>
      <c r="J83" s="335"/>
      <c r="K83" s="335"/>
      <c r="L83" s="335"/>
      <c r="M83" s="335"/>
      <c r="N83" s="335"/>
    </row>
    <row r="84" spans="1:14" hidden="1">
      <c r="A84" s="335"/>
      <c r="B84" s="335"/>
      <c r="C84" s="335"/>
      <c r="D84" s="335"/>
      <c r="E84" s="335"/>
      <c r="F84" s="335"/>
      <c r="G84" s="335"/>
      <c r="H84" s="335"/>
      <c r="I84" s="335"/>
      <c r="J84" s="335"/>
      <c r="K84" s="335"/>
      <c r="L84" s="335"/>
      <c r="M84" s="335"/>
      <c r="N84" s="335"/>
    </row>
    <row r="85" spans="1:14" hidden="1">
      <c r="A85" s="335"/>
      <c r="B85" s="335"/>
      <c r="C85" s="335"/>
      <c r="D85" s="335"/>
      <c r="E85" s="335"/>
      <c r="F85" s="335"/>
      <c r="G85" s="335"/>
      <c r="H85" s="335"/>
      <c r="I85" s="335"/>
      <c r="J85" s="335"/>
      <c r="K85" s="335"/>
      <c r="L85" s="335"/>
      <c r="M85" s="335"/>
      <c r="N85" s="335"/>
    </row>
    <row r="86" spans="1:14" hidden="1">
      <c r="A86" s="335"/>
      <c r="B86" s="335"/>
      <c r="C86" s="335"/>
      <c r="D86" s="335"/>
      <c r="E86" s="335"/>
      <c r="F86" s="335"/>
      <c r="G86" s="335"/>
      <c r="H86" s="335"/>
      <c r="I86" s="335"/>
      <c r="J86" s="335"/>
      <c r="K86" s="335"/>
      <c r="L86" s="335"/>
      <c r="M86" s="335"/>
      <c r="N86" s="335"/>
    </row>
    <row r="87" spans="1:14" hidden="1">
      <c r="A87" s="335"/>
      <c r="B87" s="335"/>
      <c r="C87" s="335"/>
      <c r="D87" s="335"/>
      <c r="E87" s="335"/>
      <c r="F87" s="335"/>
      <c r="G87" s="335"/>
      <c r="H87" s="335"/>
      <c r="I87" s="335"/>
      <c r="J87" s="335"/>
      <c r="K87" s="335"/>
      <c r="L87" s="335"/>
      <c r="M87" s="335"/>
      <c r="N87" s="335"/>
    </row>
    <row r="88" spans="1:14" hidden="1">
      <c r="A88" s="335"/>
      <c r="B88" s="335"/>
      <c r="C88" s="335"/>
      <c r="D88" s="335"/>
      <c r="E88" s="335"/>
      <c r="F88" s="335"/>
      <c r="G88" s="335"/>
      <c r="H88" s="335"/>
      <c r="I88" s="335"/>
      <c r="J88" s="335"/>
      <c r="K88" s="335"/>
      <c r="L88" s="335"/>
      <c r="M88" s="335"/>
      <c r="N88" s="335"/>
    </row>
    <row r="89" spans="1:14" hidden="1">
      <c r="A89" s="335"/>
      <c r="B89" s="335"/>
      <c r="C89" s="335"/>
      <c r="D89" s="335"/>
      <c r="E89" s="335"/>
      <c r="F89" s="335"/>
      <c r="G89" s="335"/>
      <c r="H89" s="335"/>
      <c r="I89" s="335"/>
      <c r="J89" s="335"/>
      <c r="K89" s="335"/>
      <c r="L89" s="335"/>
      <c r="M89" s="335"/>
      <c r="N89" s="335"/>
    </row>
    <row r="90" spans="1:14" hidden="1">
      <c r="A90" s="335"/>
      <c r="B90" s="335"/>
      <c r="C90" s="335"/>
      <c r="D90" s="335"/>
      <c r="E90" s="335"/>
      <c r="F90" s="335"/>
      <c r="G90" s="335"/>
      <c r="H90" s="335"/>
      <c r="I90" s="335"/>
      <c r="J90" s="335"/>
      <c r="K90" s="335"/>
      <c r="L90" s="335"/>
      <c r="M90" s="335"/>
      <c r="N90" s="335"/>
    </row>
    <row r="91" spans="1:14" hidden="1">
      <c r="A91" s="335"/>
      <c r="B91" s="335"/>
      <c r="C91" s="335"/>
      <c r="D91" s="335"/>
      <c r="E91" s="335"/>
      <c r="F91" s="335"/>
      <c r="G91" s="335"/>
      <c r="H91" s="335"/>
      <c r="I91" s="335"/>
      <c r="J91" s="335"/>
      <c r="K91" s="335"/>
      <c r="L91" s="335"/>
      <c r="M91" s="335"/>
      <c r="N91" s="335"/>
    </row>
    <row r="92" spans="1:14" hidden="1">
      <c r="A92" s="335"/>
      <c r="B92" s="335"/>
      <c r="C92" s="335"/>
      <c r="D92" s="335"/>
      <c r="E92" s="335"/>
      <c r="F92" s="335"/>
      <c r="G92" s="335"/>
      <c r="H92" s="335"/>
      <c r="I92" s="335"/>
      <c r="J92" s="335"/>
      <c r="K92" s="335"/>
      <c r="L92" s="335"/>
      <c r="M92" s="335"/>
      <c r="N92" s="335"/>
    </row>
    <row r="93" spans="1:14" hidden="1">
      <c r="A93" s="335"/>
      <c r="B93" s="335"/>
      <c r="C93" s="335"/>
      <c r="D93" s="335"/>
      <c r="E93" s="335"/>
      <c r="F93" s="335"/>
      <c r="G93" s="335"/>
      <c r="H93" s="335"/>
      <c r="I93" s="335"/>
      <c r="J93" s="335"/>
      <c r="K93" s="335"/>
      <c r="L93" s="335"/>
      <c r="M93" s="335"/>
      <c r="N93" s="335"/>
    </row>
    <row r="94" spans="1:14" hidden="1">
      <c r="A94" s="335"/>
      <c r="B94" s="335"/>
      <c r="C94" s="335"/>
      <c r="D94" s="335"/>
      <c r="E94" s="335"/>
      <c r="F94" s="335"/>
      <c r="G94" s="335"/>
      <c r="H94" s="335"/>
      <c r="I94" s="335"/>
      <c r="J94" s="335"/>
      <c r="K94" s="335"/>
      <c r="L94" s="335"/>
      <c r="M94" s="335"/>
      <c r="N94" s="335"/>
    </row>
    <row r="95" spans="1:14" hidden="1">
      <c r="A95" s="335"/>
      <c r="B95" s="335"/>
      <c r="C95" s="335"/>
      <c r="D95" s="335"/>
      <c r="E95" s="335"/>
      <c r="F95" s="335"/>
      <c r="G95" s="335"/>
      <c r="H95" s="335"/>
      <c r="I95" s="335"/>
      <c r="J95" s="335"/>
      <c r="K95" s="335"/>
      <c r="L95" s="335"/>
      <c r="M95" s="335"/>
      <c r="N95" s="335"/>
    </row>
    <row r="96" spans="1:14" hidden="1">
      <c r="A96" s="335"/>
      <c r="B96" s="335"/>
      <c r="C96" s="335"/>
      <c r="D96" s="335"/>
      <c r="E96" s="335"/>
      <c r="F96" s="335"/>
      <c r="G96" s="335"/>
      <c r="H96" s="335"/>
      <c r="I96" s="335"/>
      <c r="J96" s="335"/>
      <c r="K96" s="335"/>
      <c r="L96" s="335"/>
      <c r="M96" s="335"/>
      <c r="N96" s="335"/>
    </row>
    <row r="97" spans="1:14" hidden="1">
      <c r="A97" s="335"/>
      <c r="B97" s="335"/>
      <c r="C97" s="335"/>
      <c r="D97" s="335"/>
      <c r="E97" s="335"/>
      <c r="F97" s="335"/>
      <c r="G97" s="335"/>
      <c r="H97" s="335"/>
      <c r="I97" s="335"/>
      <c r="J97" s="335"/>
      <c r="K97" s="335"/>
      <c r="L97" s="335"/>
      <c r="M97" s="335"/>
      <c r="N97" s="335"/>
    </row>
    <row r="98" spans="1:14" hidden="1">
      <c r="A98" s="335"/>
      <c r="B98" s="335"/>
      <c r="C98" s="335"/>
      <c r="D98" s="335"/>
      <c r="E98" s="335"/>
      <c r="F98" s="335"/>
      <c r="G98" s="335"/>
      <c r="H98" s="335"/>
      <c r="I98" s="335"/>
      <c r="J98" s="335"/>
      <c r="K98" s="335"/>
      <c r="L98" s="335"/>
      <c r="M98" s="335"/>
      <c r="N98" s="335"/>
    </row>
    <row r="99" spans="1:14" hidden="1">
      <c r="A99" s="335"/>
      <c r="B99" s="335"/>
      <c r="C99" s="335"/>
      <c r="D99" s="335"/>
      <c r="E99" s="335"/>
      <c r="F99" s="335"/>
      <c r="G99" s="335"/>
      <c r="H99" s="335"/>
      <c r="I99" s="335"/>
      <c r="J99" s="335"/>
      <c r="K99" s="335"/>
      <c r="L99" s="335"/>
      <c r="M99" s="335"/>
      <c r="N99" s="335"/>
    </row>
    <row r="100" spans="1:14" hidden="1">
      <c r="A100" s="335"/>
      <c r="B100" s="335"/>
      <c r="C100" s="335"/>
      <c r="D100" s="335"/>
      <c r="E100" s="335"/>
      <c r="F100" s="335"/>
      <c r="G100" s="335"/>
      <c r="H100" s="335"/>
      <c r="I100" s="335"/>
      <c r="J100" s="335"/>
      <c r="K100" s="335"/>
      <c r="L100" s="335"/>
      <c r="M100" s="335"/>
      <c r="N100" s="335"/>
    </row>
    <row r="101" spans="1:14" hidden="1">
      <c r="A101" s="335"/>
      <c r="B101" s="335"/>
      <c r="C101" s="335"/>
      <c r="D101" s="335"/>
      <c r="E101" s="335"/>
      <c r="F101" s="335"/>
      <c r="G101" s="335"/>
      <c r="H101" s="335"/>
      <c r="I101" s="335"/>
      <c r="J101" s="335"/>
      <c r="K101" s="335"/>
      <c r="L101" s="335"/>
      <c r="M101" s="335"/>
      <c r="N101" s="335"/>
    </row>
    <row r="102" spans="1:14" hidden="1">
      <c r="A102" s="335"/>
      <c r="B102" s="335"/>
      <c r="C102" s="335"/>
      <c r="D102" s="335"/>
      <c r="E102" s="335"/>
      <c r="F102" s="335"/>
      <c r="G102" s="335"/>
      <c r="H102" s="335"/>
      <c r="I102" s="335"/>
      <c r="J102" s="335"/>
      <c r="K102" s="335"/>
      <c r="L102" s="335"/>
      <c r="M102" s="335"/>
      <c r="N102" s="335"/>
    </row>
    <row r="103" spans="1:14" hidden="1">
      <c r="A103" s="335"/>
      <c r="B103" s="335"/>
      <c r="C103" s="335"/>
      <c r="D103" s="335"/>
      <c r="E103" s="335"/>
      <c r="F103" s="335"/>
      <c r="G103" s="335"/>
      <c r="H103" s="335"/>
      <c r="I103" s="335"/>
      <c r="J103" s="335"/>
      <c r="K103" s="335"/>
      <c r="L103" s="335"/>
      <c r="M103" s="335"/>
      <c r="N103" s="335"/>
    </row>
    <row r="104" spans="1:14" hidden="1">
      <c r="A104" s="335"/>
      <c r="B104" s="335"/>
      <c r="C104" s="335"/>
      <c r="D104" s="335"/>
      <c r="E104" s="335"/>
      <c r="F104" s="335"/>
      <c r="G104" s="335"/>
      <c r="H104" s="335"/>
      <c r="I104" s="335"/>
      <c r="J104" s="335"/>
      <c r="K104" s="335"/>
      <c r="L104" s="335"/>
      <c r="M104" s="335"/>
      <c r="N104" s="335"/>
    </row>
    <row r="105" spans="1:14" hidden="1">
      <c r="A105" s="335"/>
      <c r="B105" s="335"/>
      <c r="C105" s="335"/>
      <c r="D105" s="335"/>
      <c r="E105" s="335"/>
      <c r="F105" s="335"/>
      <c r="G105" s="335"/>
      <c r="H105" s="335"/>
      <c r="I105" s="335"/>
      <c r="J105" s="335"/>
      <c r="K105" s="335"/>
      <c r="L105" s="335"/>
      <c r="M105" s="335"/>
      <c r="N105" s="335"/>
    </row>
    <row r="106" spans="1:14" hidden="1">
      <c r="A106" s="335"/>
      <c r="B106" s="335"/>
      <c r="C106" s="335"/>
      <c r="D106" s="335"/>
      <c r="E106" s="335"/>
      <c r="F106" s="335"/>
      <c r="G106" s="335"/>
      <c r="H106" s="335"/>
      <c r="I106" s="335"/>
      <c r="J106" s="335"/>
      <c r="K106" s="335"/>
      <c r="L106" s="335"/>
      <c r="M106" s="335"/>
      <c r="N106" s="335"/>
    </row>
    <row r="107" spans="1:14" hidden="1">
      <c r="A107" s="335"/>
      <c r="B107" s="335"/>
      <c r="C107" s="335"/>
      <c r="D107" s="335"/>
      <c r="E107" s="335"/>
      <c r="F107" s="335"/>
      <c r="G107" s="335"/>
      <c r="H107" s="335"/>
      <c r="I107" s="335"/>
      <c r="J107" s="335"/>
      <c r="K107" s="335"/>
      <c r="L107" s="335"/>
      <c r="M107" s="335"/>
      <c r="N107" s="335"/>
    </row>
    <row r="108" spans="1:14" hidden="1">
      <c r="A108" s="335"/>
      <c r="B108" s="335"/>
      <c r="C108" s="335"/>
      <c r="D108" s="335"/>
      <c r="E108" s="335"/>
      <c r="F108" s="335"/>
      <c r="G108" s="335"/>
      <c r="H108" s="335"/>
      <c r="I108" s="335"/>
      <c r="J108" s="335"/>
      <c r="K108" s="335"/>
      <c r="L108" s="335"/>
      <c r="M108" s="335"/>
      <c r="N108" s="335"/>
    </row>
    <row r="109" spans="1:14" hidden="1">
      <c r="A109" s="335"/>
      <c r="B109" s="335"/>
      <c r="C109" s="335"/>
      <c r="D109" s="335"/>
      <c r="E109" s="335"/>
      <c r="F109" s="335"/>
      <c r="G109" s="335"/>
      <c r="H109" s="335"/>
      <c r="I109" s="335"/>
      <c r="J109" s="335"/>
      <c r="K109" s="335"/>
      <c r="L109" s="335"/>
      <c r="M109" s="335"/>
      <c r="N109" s="335"/>
    </row>
    <row r="110" spans="1:14" hidden="1">
      <c r="A110" s="335"/>
      <c r="B110" s="335"/>
      <c r="C110" s="335"/>
      <c r="D110" s="335"/>
      <c r="E110" s="335"/>
      <c r="F110" s="335"/>
      <c r="G110" s="335"/>
      <c r="H110" s="335"/>
      <c r="I110" s="335"/>
      <c r="J110" s="335"/>
      <c r="K110" s="335"/>
      <c r="L110" s="335"/>
      <c r="M110" s="335"/>
      <c r="N110" s="335"/>
    </row>
    <row r="111" spans="1:14" hidden="1">
      <c r="A111" s="335"/>
      <c r="B111" s="335"/>
      <c r="C111" s="335"/>
      <c r="D111" s="335"/>
      <c r="E111" s="335"/>
      <c r="F111" s="335"/>
      <c r="G111" s="335"/>
      <c r="H111" s="335"/>
      <c r="I111" s="335"/>
      <c r="J111" s="335"/>
      <c r="K111" s="335"/>
      <c r="L111" s="335"/>
      <c r="M111" s="335"/>
      <c r="N111" s="335"/>
    </row>
    <row r="112" spans="1:14" hidden="1">
      <c r="A112" s="335"/>
      <c r="B112" s="335"/>
      <c r="C112" s="335"/>
      <c r="D112" s="335"/>
      <c r="E112" s="335"/>
      <c r="F112" s="335"/>
      <c r="G112" s="335"/>
      <c r="H112" s="335"/>
      <c r="I112" s="335"/>
      <c r="J112" s="335"/>
      <c r="K112" s="335"/>
      <c r="L112" s="335"/>
      <c r="M112" s="335"/>
      <c r="N112" s="335"/>
    </row>
    <row r="113" spans="1:14" hidden="1">
      <c r="A113" s="335"/>
      <c r="B113" s="335"/>
      <c r="C113" s="335"/>
      <c r="D113" s="335"/>
      <c r="E113" s="335"/>
      <c r="F113" s="335"/>
      <c r="G113" s="335"/>
      <c r="H113" s="335"/>
      <c r="I113" s="335"/>
      <c r="J113" s="335"/>
      <c r="K113" s="335"/>
      <c r="L113" s="335"/>
      <c r="M113" s="335"/>
      <c r="N113" s="335"/>
    </row>
    <row r="114" spans="1:14" hidden="1">
      <c r="A114" s="335"/>
      <c r="B114" s="335"/>
      <c r="C114" s="335"/>
      <c r="D114" s="335"/>
      <c r="E114" s="335"/>
      <c r="F114" s="335"/>
      <c r="G114" s="335"/>
      <c r="H114" s="335"/>
      <c r="I114" s="335"/>
      <c r="J114" s="335"/>
      <c r="K114" s="335"/>
      <c r="L114" s="335"/>
      <c r="M114" s="335"/>
      <c r="N114" s="335"/>
    </row>
  </sheetData>
  <sheetProtection sheet="1" objects="1" scenarios="1"/>
  <mergeCells count="14">
    <mergeCell ref="A1:Q2"/>
    <mergeCell ref="A3:A54"/>
    <mergeCell ref="B3:E3"/>
    <mergeCell ref="G3:H3"/>
    <mergeCell ref="J3:K3"/>
    <mergeCell ref="M3:N3"/>
    <mergeCell ref="G31:G32"/>
    <mergeCell ref="I31:J31"/>
    <mergeCell ref="P3:Q3"/>
    <mergeCell ref="G21:H21"/>
    <mergeCell ref="G15:H15"/>
    <mergeCell ref="J16:K16"/>
    <mergeCell ref="G9:H9"/>
    <mergeCell ref="P21:Q26"/>
  </mergeCells>
  <printOptions horizontalCentered="1" verticalCentered="1"/>
  <pageMargins left="0" right="0" top="0" bottom="0" header="0" footer="0"/>
  <pageSetup paperSize="9" scale="50" orientation="landscape" r:id="rId1"/>
  <ignoredErrors>
    <ignoredError sqref="C5:E54" unlockedFormula="1"/>
  </ignoredErrors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Plan2"/>
  <dimension ref="A1:DH63"/>
  <sheetViews>
    <sheetView topLeftCell="W7" zoomScale="85" zoomScaleNormal="85" workbookViewId="0">
      <selection activeCell="AP26" sqref="AP26"/>
    </sheetView>
  </sheetViews>
  <sheetFormatPr defaultRowHeight="15"/>
  <cols>
    <col min="1" max="1" width="11.85546875" bestFit="1" customWidth="1"/>
    <col min="2" max="2" width="17.140625" bestFit="1" customWidth="1"/>
    <col min="3" max="3" width="18.85546875" style="2" bestFit="1" customWidth="1"/>
    <col min="4" max="4" width="5.7109375" bestFit="1" customWidth="1"/>
    <col min="5" max="5" width="8.42578125" style="2" bestFit="1" customWidth="1"/>
    <col min="6" max="6" width="17.140625" style="5" customWidth="1"/>
    <col min="7" max="7" width="7.85546875" style="2" customWidth="1"/>
    <col min="8" max="8" width="21.42578125" style="2" customWidth="1"/>
    <col min="9" max="10" width="23" style="2" bestFit="1" customWidth="1"/>
    <col min="11" max="11" width="7.140625" style="124" bestFit="1" customWidth="1"/>
    <col min="12" max="13" width="9.42578125" style="2" customWidth="1"/>
    <col min="14" max="14" width="6" style="2" customWidth="1"/>
    <col min="15" max="22" width="9.140625" style="2" customWidth="1"/>
    <col min="23" max="23" width="13.140625" style="2" bestFit="1" customWidth="1"/>
    <col min="24" max="24" width="8.28515625" style="2" bestFit="1" customWidth="1"/>
    <col min="25" max="25" width="10.85546875" style="2" bestFit="1" customWidth="1"/>
    <col min="26" max="26" width="9.140625" style="2" customWidth="1"/>
    <col min="27" max="27" width="10.28515625" style="2" customWidth="1"/>
    <col min="28" max="28" width="9.42578125" customWidth="1"/>
    <col min="29" max="29" width="3.85546875" customWidth="1"/>
    <col min="30" max="36" width="9.140625" style="2" customWidth="1"/>
    <col min="37" max="37" width="13.7109375" style="2" customWidth="1"/>
    <col min="38" max="38" width="10.7109375" style="2" customWidth="1"/>
    <col min="39" max="39" width="11.140625" style="2" customWidth="1"/>
    <col min="40" max="41" width="10.28515625" style="2" customWidth="1"/>
    <col min="42" max="42" width="9.140625" style="2" customWidth="1"/>
    <col min="43" max="43" width="3.85546875" customWidth="1"/>
    <col min="44" max="45" width="9.140625" style="2" customWidth="1"/>
    <col min="46" max="46" width="10" style="2" customWidth="1"/>
    <col min="47" max="49" width="10.28515625" style="2" customWidth="1"/>
    <col min="50" max="50" width="13.42578125" style="2" customWidth="1"/>
    <col min="51" max="51" width="10.7109375" style="2" customWidth="1"/>
    <col min="52" max="52" width="11.140625" style="2" customWidth="1"/>
    <col min="53" max="53" width="9.140625" style="2" customWidth="1"/>
    <col min="54" max="54" width="10.28515625" style="2" customWidth="1"/>
    <col min="55" max="55" width="9.140625" style="2"/>
    <col min="56" max="56" width="8.28515625" style="2" bestFit="1" customWidth="1"/>
    <col min="57" max="57" width="8.28515625" style="2" customWidth="1"/>
    <col min="58" max="59" width="10.7109375" style="2" bestFit="1" customWidth="1"/>
    <col min="60" max="60" width="11.28515625" style="2" bestFit="1" customWidth="1"/>
    <col min="61" max="61" width="9.140625" style="2"/>
    <col min="63" max="63" width="30.140625" bestFit="1" customWidth="1"/>
    <col min="67" max="67" width="28.7109375" bestFit="1" customWidth="1"/>
    <col min="71" max="71" width="23" bestFit="1" customWidth="1"/>
    <col min="72" max="72" width="17.140625" customWidth="1"/>
    <col min="73" max="73" width="12" bestFit="1" customWidth="1"/>
    <col min="74" max="74" width="23" bestFit="1" customWidth="1"/>
    <col min="75" max="75" width="20.28515625" bestFit="1" customWidth="1"/>
    <col min="76" max="76" width="8.140625" bestFit="1" customWidth="1"/>
    <col min="77" max="77" width="19.7109375" bestFit="1" customWidth="1"/>
    <col min="78" max="78" width="13.85546875" bestFit="1" customWidth="1"/>
    <col min="79" max="79" width="25" bestFit="1" customWidth="1"/>
    <col min="80" max="80" width="29.28515625" bestFit="1" customWidth="1"/>
    <col min="81" max="81" width="10.85546875" bestFit="1" customWidth="1"/>
    <col min="82" max="82" width="11.42578125" bestFit="1" customWidth="1"/>
    <col min="83" max="83" width="9.140625" customWidth="1"/>
    <col min="84" max="84" width="25.7109375" bestFit="1" customWidth="1"/>
    <col min="85" max="85" width="10.7109375" customWidth="1"/>
    <col min="86" max="86" width="11.85546875" customWidth="1"/>
    <col min="87" max="87" width="16.42578125" bestFit="1" customWidth="1"/>
    <col min="88" max="88" width="13.140625" bestFit="1" customWidth="1"/>
    <col min="89" max="89" width="9.5703125" customWidth="1"/>
    <col min="90" max="91" width="18.85546875" customWidth="1"/>
    <col min="92" max="93" width="24.28515625" bestFit="1" customWidth="1"/>
    <col min="94" max="94" width="24.28515625" customWidth="1"/>
    <col min="95" max="95" width="28.7109375" bestFit="1" customWidth="1"/>
    <col min="96" max="96" width="16.42578125" customWidth="1"/>
    <col min="97" max="97" width="16.28515625" bestFit="1" customWidth="1"/>
    <col min="98" max="98" width="9.140625" style="2"/>
    <col min="99" max="99" width="18.7109375" style="2" bestFit="1" customWidth="1"/>
    <col min="100" max="100" width="11.7109375" style="2" bestFit="1" customWidth="1"/>
    <col min="101" max="101" width="16.42578125" style="2" bestFit="1" customWidth="1"/>
    <col min="102" max="102" width="13.140625" style="2" bestFit="1" customWidth="1"/>
    <col min="103" max="103" width="7.7109375" style="2" bestFit="1" customWidth="1"/>
    <col min="104" max="104" width="18.85546875" style="2" bestFit="1" customWidth="1"/>
    <col min="105" max="105" width="11" style="2" bestFit="1" customWidth="1"/>
    <col min="106" max="106" width="24.28515625" style="2" bestFit="1" customWidth="1"/>
    <col min="107" max="107" width="28.7109375" style="2" bestFit="1" customWidth="1"/>
    <col min="108" max="108" width="10.5703125" style="2" bestFit="1" customWidth="1"/>
    <col min="109" max="109" width="24.28515625" style="2" bestFit="1" customWidth="1"/>
  </cols>
  <sheetData>
    <row r="1" spans="1:112">
      <c r="B1" s="13" t="b">
        <f>CAPA!I8</f>
        <v>1</v>
      </c>
      <c r="BJ1" s="397" t="s">
        <v>89</v>
      </c>
      <c r="BK1" s="397"/>
      <c r="BL1" s="397"/>
      <c r="BM1" s="397"/>
      <c r="BN1" s="397"/>
      <c r="BO1" s="397"/>
      <c r="BP1" s="397"/>
      <c r="BQ1" s="397"/>
      <c r="BS1" s="397" t="s">
        <v>90</v>
      </c>
      <c r="BT1" s="397"/>
      <c r="BU1" s="397"/>
      <c r="BV1" s="397"/>
      <c r="BW1" s="397"/>
      <c r="BX1" s="397"/>
      <c r="BY1" s="2"/>
      <c r="BZ1" s="2"/>
      <c r="CA1" s="2"/>
      <c r="CF1" s="397" t="s">
        <v>102</v>
      </c>
      <c r="CG1" s="397"/>
      <c r="CH1" s="397"/>
      <c r="CI1" s="397"/>
      <c r="CJ1" s="397"/>
      <c r="CK1" s="397"/>
    </row>
    <row r="2" spans="1:112" ht="20.25">
      <c r="B2" s="13"/>
      <c r="Q2" s="48"/>
      <c r="W2"/>
      <c r="X2" s="48"/>
      <c r="Y2" s="3"/>
      <c r="Z2" s="48"/>
      <c r="AM2"/>
      <c r="AN2" s="48"/>
      <c r="BJ2" s="397"/>
      <c r="BK2" s="397"/>
      <c r="BL2" s="397"/>
      <c r="BM2" s="397"/>
      <c r="BN2" s="397"/>
      <c r="BO2" s="397"/>
      <c r="BP2" s="397"/>
      <c r="BQ2" s="397"/>
      <c r="BS2" s="397"/>
      <c r="BT2" s="397"/>
      <c r="BU2" s="397"/>
      <c r="BV2" s="397"/>
      <c r="BW2" s="397"/>
      <c r="BX2" s="397"/>
      <c r="BY2" s="2"/>
      <c r="BZ2" s="2"/>
      <c r="CA2" s="2"/>
      <c r="CF2" s="397"/>
      <c r="CG2" s="397"/>
      <c r="CH2" s="397"/>
      <c r="CI2" s="397"/>
      <c r="CJ2" s="397"/>
      <c r="CK2" s="397"/>
      <c r="DG2" s="64" t="s">
        <v>157</v>
      </c>
      <c r="DH2">
        <v>-1</v>
      </c>
    </row>
    <row r="3" spans="1:112" ht="20.25">
      <c r="B3" s="13"/>
      <c r="C3" s="22"/>
      <c r="X3" s="3"/>
      <c r="Y3" s="48"/>
      <c r="BJ3" s="397"/>
      <c r="BK3" s="397"/>
      <c r="BL3" s="397"/>
      <c r="BM3" s="397"/>
      <c r="BN3" s="397"/>
      <c r="BO3" s="397"/>
      <c r="BP3" s="397"/>
      <c r="BQ3" s="397"/>
      <c r="BS3" s="397"/>
      <c r="BT3" s="397"/>
      <c r="BU3" s="397"/>
      <c r="BV3" s="397"/>
      <c r="BW3" s="397"/>
      <c r="BX3" s="397"/>
      <c r="BY3" s="2"/>
      <c r="BZ3" s="2"/>
      <c r="CA3" s="2"/>
      <c r="CF3" s="397"/>
      <c r="CG3" s="397"/>
      <c r="CH3" s="397"/>
      <c r="CI3" s="397"/>
      <c r="CJ3" s="397"/>
      <c r="CK3" s="397"/>
      <c r="DG3" s="64" t="s">
        <v>158</v>
      </c>
      <c r="DH3">
        <v>-2</v>
      </c>
    </row>
    <row r="4" spans="1:112" ht="20.25">
      <c r="C4" s="22"/>
      <c r="F4" s="15" t="s">
        <v>79</v>
      </c>
      <c r="G4" s="16"/>
      <c r="H4" s="59" t="s">
        <v>87</v>
      </c>
      <c r="I4" s="59" t="s">
        <v>87</v>
      </c>
      <c r="J4" s="58" t="s">
        <v>88</v>
      </c>
      <c r="L4" s="2" t="s">
        <v>50</v>
      </c>
      <c r="M4" s="111" t="s">
        <v>210</v>
      </c>
      <c r="N4" s="2">
        <f>SUM(N7:N56)</f>
        <v>12</v>
      </c>
      <c r="O4" s="399" t="s">
        <v>89</v>
      </c>
      <c r="P4" s="399"/>
      <c r="Q4" s="399"/>
      <c r="R4" s="399"/>
      <c r="S4" s="399"/>
      <c r="T4" s="399"/>
      <c r="U4" s="399"/>
      <c r="V4" s="399"/>
      <c r="W4" s="399"/>
      <c r="X4" s="399"/>
      <c r="Y4" s="399"/>
      <c r="Z4" s="399"/>
      <c r="AA4" s="399"/>
      <c r="AC4" s="2">
        <f>SUM(AC7:AC56)</f>
        <v>12</v>
      </c>
      <c r="AD4" s="399" t="s">
        <v>90</v>
      </c>
      <c r="AE4" s="399"/>
      <c r="AF4" s="399"/>
      <c r="AG4" s="399"/>
      <c r="AH4" s="399"/>
      <c r="AI4" s="399"/>
      <c r="AJ4" s="399"/>
      <c r="AK4" s="399"/>
      <c r="AL4" s="399"/>
      <c r="AM4" s="399"/>
      <c r="AN4" s="399"/>
      <c r="AO4" s="399"/>
      <c r="AQ4">
        <f>AC4</f>
        <v>12</v>
      </c>
      <c r="AR4" s="399" t="s">
        <v>102</v>
      </c>
      <c r="AS4" s="399"/>
      <c r="AT4" s="399"/>
      <c r="AU4" s="399"/>
      <c r="AV4" s="399"/>
      <c r="AW4" s="399"/>
      <c r="AX4" s="399"/>
      <c r="AY4" s="399"/>
      <c r="AZ4" s="399"/>
      <c r="BA4" s="399"/>
      <c r="BB4" s="399"/>
      <c r="BD4" s="400" t="s">
        <v>199</v>
      </c>
      <c r="BE4" s="400"/>
      <c r="BF4" s="400"/>
      <c r="BG4" s="400"/>
      <c r="BH4" s="400"/>
      <c r="BJ4" s="397"/>
      <c r="BK4" s="397"/>
      <c r="BL4" s="397"/>
      <c r="BM4" s="397"/>
      <c r="BN4" s="397"/>
      <c r="BO4" s="397"/>
      <c r="BP4" s="397"/>
      <c r="BQ4" s="397"/>
      <c r="BS4" s="397"/>
      <c r="BT4" s="397"/>
      <c r="BU4" s="397"/>
      <c r="BV4" s="397"/>
      <c r="BW4" s="397"/>
      <c r="BX4" s="397"/>
      <c r="BY4" s="2"/>
      <c r="BZ4" s="2"/>
      <c r="CA4" s="2"/>
      <c r="CF4" s="397"/>
      <c r="CG4" s="397"/>
      <c r="CH4" s="397"/>
      <c r="CI4" s="397"/>
      <c r="CJ4" s="397"/>
      <c r="CK4" s="397"/>
      <c r="DG4" s="64" t="s">
        <v>159</v>
      </c>
      <c r="DH4">
        <v>-3</v>
      </c>
    </row>
    <row r="5" spans="1:112">
      <c r="B5" s="5" t="s">
        <v>51</v>
      </c>
      <c r="C5" s="2" t="str">
        <f>CAPA!I7</f>
        <v>C-Pré-moldada</v>
      </c>
      <c r="D5" s="2">
        <f>IFERROR(LOOKUP(C5,Compatibilidade!F24:F33,Compatibilidade!G24:G33),"")</f>
        <v>3</v>
      </c>
      <c r="E5" s="2" t="s">
        <v>14</v>
      </c>
      <c r="F5" s="15" t="s">
        <v>15</v>
      </c>
      <c r="G5" s="16" t="s">
        <v>34</v>
      </c>
      <c r="H5" s="59" t="s">
        <v>114</v>
      </c>
      <c r="I5" s="59" t="s">
        <v>115</v>
      </c>
      <c r="J5" s="58" t="s">
        <v>15</v>
      </c>
      <c r="L5" s="2">
        <v>0</v>
      </c>
      <c r="M5" s="48">
        <v>0</v>
      </c>
      <c r="O5" s="6" t="s">
        <v>17</v>
      </c>
      <c r="P5" s="2" t="s">
        <v>18</v>
      </c>
      <c r="Q5" s="2" t="s">
        <v>5</v>
      </c>
      <c r="R5" s="2" t="s">
        <v>6</v>
      </c>
      <c r="S5" s="2" t="s">
        <v>19</v>
      </c>
      <c r="T5" s="2" t="s">
        <v>59</v>
      </c>
      <c r="U5" s="2" t="s">
        <v>153</v>
      </c>
      <c r="V5" s="2" t="s">
        <v>154</v>
      </c>
      <c r="W5" s="2" t="s">
        <v>65</v>
      </c>
      <c r="X5" s="5" t="s">
        <v>64</v>
      </c>
      <c r="Y5" s="5" t="s">
        <v>66</v>
      </c>
      <c r="Z5" s="2" t="s">
        <v>67</v>
      </c>
      <c r="AA5" s="2" t="s">
        <v>70</v>
      </c>
      <c r="AB5" s="2"/>
      <c r="AC5" s="2"/>
      <c r="AD5" s="2" t="s">
        <v>96</v>
      </c>
      <c r="AE5" s="6" t="s">
        <v>17</v>
      </c>
      <c r="AF5" s="6" t="s">
        <v>116</v>
      </c>
      <c r="AG5" s="2" t="s">
        <v>19</v>
      </c>
      <c r="AH5" s="2" t="s">
        <v>59</v>
      </c>
      <c r="AI5" s="2" t="s">
        <v>153</v>
      </c>
      <c r="AJ5" s="2" t="s">
        <v>154</v>
      </c>
      <c r="AK5" s="2" t="s">
        <v>65</v>
      </c>
      <c r="AL5" s="2" t="s">
        <v>64</v>
      </c>
      <c r="AM5" s="2" t="s">
        <v>66</v>
      </c>
      <c r="AN5" s="2" t="s">
        <v>67</v>
      </c>
      <c r="AO5" s="2" t="s">
        <v>70</v>
      </c>
      <c r="AQ5" s="2"/>
      <c r="AR5" s="6" t="s">
        <v>17</v>
      </c>
      <c r="AS5" s="6" t="s">
        <v>116</v>
      </c>
      <c r="AT5" s="2" t="s">
        <v>19</v>
      </c>
      <c r="AU5" s="2" t="s">
        <v>59</v>
      </c>
      <c r="AV5" s="2" t="s">
        <v>153</v>
      </c>
      <c r="AW5" s="2" t="s">
        <v>154</v>
      </c>
      <c r="AX5" s="2" t="s">
        <v>65</v>
      </c>
      <c r="AY5" s="2" t="s">
        <v>64</v>
      </c>
      <c r="AZ5" s="2" t="s">
        <v>66</v>
      </c>
      <c r="BA5" s="2" t="s">
        <v>67</v>
      </c>
      <c r="BB5" s="2" t="s">
        <v>70</v>
      </c>
      <c r="BD5" s="2" t="s">
        <v>222</v>
      </c>
      <c r="BE5" s="2" t="s">
        <v>64</v>
      </c>
      <c r="BF5" s="2" t="s">
        <v>66</v>
      </c>
      <c r="BG5" s="60" t="s">
        <v>67</v>
      </c>
      <c r="BH5" s="60" t="s">
        <v>70</v>
      </c>
      <c r="BL5" s="398" t="s">
        <v>345</v>
      </c>
      <c r="BM5" s="398"/>
      <c r="BN5" s="2"/>
      <c r="BO5" s="1" t="s">
        <v>0</v>
      </c>
      <c r="BP5" s="2"/>
      <c r="BQ5" s="2"/>
      <c r="BT5" s="1" t="s">
        <v>91</v>
      </c>
      <c r="BU5" s="2"/>
      <c r="BV5" s="2"/>
      <c r="BW5" s="2"/>
      <c r="BX5" s="2"/>
      <c r="BY5" s="2"/>
      <c r="BZ5" s="2"/>
      <c r="CA5" s="2"/>
      <c r="CG5" s="7" t="s">
        <v>111</v>
      </c>
      <c r="CH5" s="2"/>
      <c r="CI5" s="2"/>
      <c r="CJ5" s="2"/>
      <c r="CK5" s="2"/>
      <c r="CS5" t="s">
        <v>60</v>
      </c>
      <c r="CT5" s="2">
        <v>7</v>
      </c>
      <c r="CU5" s="2">
        <v>7</v>
      </c>
      <c r="CV5" s="2">
        <v>5</v>
      </c>
      <c r="CW5" s="2">
        <v>6</v>
      </c>
      <c r="CX5" s="2">
        <v>14</v>
      </c>
      <c r="CY5" s="2">
        <v>10</v>
      </c>
      <c r="CZ5" s="2">
        <v>10</v>
      </c>
      <c r="DA5" s="2">
        <v>5</v>
      </c>
      <c r="DH5">
        <v>-4</v>
      </c>
    </row>
    <row r="6" spans="1:112">
      <c r="B6" s="5"/>
      <c r="D6" s="2"/>
      <c r="E6" s="2">
        <v>0</v>
      </c>
      <c r="F6" s="15"/>
      <c r="G6" s="16"/>
      <c r="H6" s="17"/>
      <c r="I6" s="17"/>
      <c r="J6" s="18"/>
      <c r="K6" s="124">
        <v>0</v>
      </c>
      <c r="M6" s="48">
        <f>CAPA!E8</f>
        <v>0</v>
      </c>
      <c r="O6" s="6"/>
      <c r="X6" s="5"/>
      <c r="Y6" s="5"/>
      <c r="AB6" s="2"/>
      <c r="AC6" s="2"/>
      <c r="AE6" s="6"/>
      <c r="AF6" s="6"/>
      <c r="AQ6" s="2"/>
      <c r="AR6" s="6"/>
      <c r="AS6" s="6"/>
      <c r="BK6" s="1"/>
      <c r="BL6" s="2"/>
      <c r="BM6" s="2"/>
      <c r="BN6" s="2"/>
      <c r="BO6" s="1"/>
      <c r="BP6" s="2"/>
      <c r="BQ6" s="2"/>
      <c r="BT6" s="1"/>
      <c r="BU6" s="2"/>
      <c r="BV6" s="2"/>
      <c r="BW6" s="2"/>
      <c r="BX6" s="2"/>
      <c r="BY6" s="2"/>
      <c r="BZ6" s="2"/>
      <c r="CA6" s="2"/>
      <c r="CG6" s="7"/>
      <c r="CH6" s="2"/>
      <c r="CI6" s="2"/>
      <c r="CJ6" s="2"/>
      <c r="CK6" s="2"/>
      <c r="DH6">
        <v>-5</v>
      </c>
    </row>
    <row r="7" spans="1:112">
      <c r="B7" s="5"/>
      <c r="C7" s="3"/>
      <c r="E7" s="2">
        <v>1</v>
      </c>
      <c r="F7" s="5" t="str">
        <f>IFERROR(LOOKUP(E7,CAPA!$C$8:$C$57,CAPA!$F$8:$F$57),"")</f>
        <v>D-areia argilosa</v>
      </c>
      <c r="G7" s="2" t="str">
        <f t="shared" ref="G7:G38" si="0">IFERROR(LOOKUP(F7,$BK$8:$BK$22,$BJ$8:$BJ$22),"")</f>
        <v>D</v>
      </c>
      <c r="H7" s="2" t="str">
        <f>IFERROR(LOOKUP(F7,Compatibilidade!$C$6:$C$20,Compatibilidade!$D$6:$D$20),"")</f>
        <v>C-silte arenoso</v>
      </c>
      <c r="I7" s="2" t="str">
        <f>IFERROR(LOOKUP(F7,Compatibilidade!$C$6:$C$20,Compatibilidade!$E$6:$E$20),"")</f>
        <v>B-Solos intermediários</v>
      </c>
      <c r="J7" s="2" t="str">
        <f>IFERROR(LOOKUP(F7,Compatibilidade!$C$6:$C$20,Compatibilidade!$F$6:$F$20),"")</f>
        <v>E-areia argilosa</v>
      </c>
      <c r="K7" s="124">
        <v>1</v>
      </c>
      <c r="L7" s="48">
        <f>IF(COUNTIF($BK$8:$BK$22,CAPA!F9)&gt;0,CAPA!D9,
        IF(CAPA!F9=$BK$23, IF(CAPA!$I$21="Nula",0,CAPA!D9),
             IF(CAPA!F9=$BK$24, IF(CAPA!$I$22="Negativa",-ABS(CAPA!D9),0),CAPA!D9)))</f>
        <v>5</v>
      </c>
      <c r="M7" s="48">
        <f>CAPA!E9</f>
        <v>16</v>
      </c>
      <c r="N7" s="2" t="str">
        <f t="shared" ref="N7:N38" si="1">IF(AND(E7&gt;$C$28,E7&lt;=$C$29),1,"")</f>
        <v/>
      </c>
      <c r="O7" s="8">
        <f t="shared" ref="O7:O38" si="2">IFERROR(LOOKUP(F7,$BK$8:$BK$22,$BM$8:$BM$22),"")</f>
        <v>0.03</v>
      </c>
      <c r="P7" s="3">
        <f t="shared" ref="P7:P38" si="3">IFERROR(LOOKUP(F7,$BK$8:$BK$22,$BL$8:$BL$22),"")</f>
        <v>0.6</v>
      </c>
      <c r="Q7" s="3">
        <f>IFERROR(LOOKUP($C$5,$BO$8:$BO$17,$BP$8:$BP$17),"")</f>
        <v>1.33</v>
      </c>
      <c r="R7" s="3">
        <f t="shared" ref="R7:R38" si="4">IFERROR(LOOKUP($C$5,$BO$8:$BO$17,$BQ$8:$BQ$17),"")</f>
        <v>2.66</v>
      </c>
      <c r="S7" s="3">
        <f>IFERROR((O7*P7*1000*L7)/R7,0)</f>
        <v>33.834586466165412</v>
      </c>
      <c r="T7" s="12">
        <f>IFERROR(P7*1000*U7*(IF(K7&lt;=$C$28,0,1))/Q7,0)</f>
        <v>0</v>
      </c>
      <c r="U7" s="21">
        <f>IFERROR(L8,0)</f>
        <v>5</v>
      </c>
      <c r="V7" s="21">
        <f>IF(E7&gt;$C$28,((K6-$C$28)*AW6+L7)/(K7-$C$28),0)</f>
        <v>0</v>
      </c>
      <c r="W7" s="3" t="e">
        <f>IF(E7&gt;$C$28,$C$15,NA())</f>
        <v>#N/A</v>
      </c>
      <c r="X7" s="48" t="e">
        <f t="shared" ref="X7:X17" si="5">IFERROR(W7*S7+X6,W7*S7)</f>
        <v>#N/A</v>
      </c>
      <c r="Y7" s="48" t="e">
        <f>IF(W7="1",NA(),IF(CAPA!$I$13=0,$C$16*T7,IF(CAPA!$I$13="Rp = 0",0,IF(CAPA!$I$13="Rp &lt; RL",IF($C$16*T7&gt;X7,X7,$C$16*T7),$C$16*T7))))</f>
        <v>#N/A</v>
      </c>
      <c r="Z7" s="48" t="e">
        <f>IF(O7="",NA(),IF(W7="#N/D",NA(),X7+Y7))</f>
        <v>#N/A</v>
      </c>
      <c r="AA7" s="48" t="e">
        <f>IFERROR(IF(O7="",NA(),Z7/$D$26),NA())</f>
        <v>#N/A</v>
      </c>
      <c r="AB7" s="107"/>
      <c r="AC7" t="str">
        <f t="shared" ref="AC7:AC38" si="6">IF(AND(E7&gt;$C$28,E7&lt;=$C$29),1,"")</f>
        <v/>
      </c>
      <c r="AD7" s="3">
        <f t="shared" ref="AD7:AD38" si="7">IFERROR(LOOKUP(H7,$BT$8:$BT$11,$BU$8:$BU$11),"")</f>
        <v>250</v>
      </c>
      <c r="AE7" s="3">
        <f>IFERROR(LOOKUP(I7,$BS$21:$BS$23,$CD$21:$CD$23),"")</f>
        <v>1</v>
      </c>
      <c r="AF7" s="3">
        <f t="shared" ref="AF7:AF38" si="8">IFERROR(LOOKUP(I7,$BS$27:$BS$29,$CD$27:$CD$29),"")</f>
        <v>1</v>
      </c>
      <c r="AG7" s="3">
        <f t="shared" ref="AG7:AG19" si="9">IF(OR(K7&lt;=C$28,AF7=""),0,IFERROR(10*((L7/3)+1),NA()))</f>
        <v>0</v>
      </c>
      <c r="AH7" s="12">
        <f>IFERROR((AD7*AI7),0)</f>
        <v>1000</v>
      </c>
      <c r="AI7" s="21">
        <f>IFERROR((AVERAGE(L7:L9)),0)</f>
        <v>4</v>
      </c>
      <c r="AJ7" s="21">
        <f t="shared" ref="AJ7:AJ38" si="10">IF(E7&gt;$C$28,((K6-$C$28)*AW6+L7)/(K7-$C$28),0)</f>
        <v>0</v>
      </c>
      <c r="AK7" s="3" t="e">
        <f t="shared" ref="AK7:AK38" si="11">W7</f>
        <v>#N/A</v>
      </c>
      <c r="AL7" s="48" t="e">
        <f>IF(AK7="#N/D",NA(),IFERROR(AF7*AK7*AG7+AL6,IFERROR(AF7*AK7*AG7,NA())))</f>
        <v>#N/A</v>
      </c>
      <c r="AM7" s="12" t="e">
        <f>IF(AK7="#N/D",NA(),
        IF(CAPA!$I$13=0,AE7*$C$16*AH7,
             IF(CAPA!$I$13="Rp = 0",0,
                  IF(CAPA!$I$13="Rp &lt; RL",IF(AE7*$C$16*AH7&gt;AL7,AL7,AE7*$C$16*AH7),AE7*$C$16*AH7))))</f>
        <v>#N/A</v>
      </c>
      <c r="AN7" s="46" t="e">
        <f t="shared" ref="AN7:AN24" si="12">IFERROR(IF(AK7="#N/D",NA(),AL7+AM7),NA())</f>
        <v>#N/A</v>
      </c>
      <c r="AO7" s="46" t="e">
        <f>IFERROR((AL7/$B$24)+(AM7/$B$25),NA())</f>
        <v>#N/A</v>
      </c>
      <c r="AQ7" t="str">
        <f t="shared" ref="AQ7:AQ38" si="13">AC7</f>
        <v/>
      </c>
      <c r="AR7" s="3">
        <f t="shared" ref="AR7:AR38" si="14">IFERROR(LOOKUP(J7,$CF$24:$CF$31,$CQ$24:$CQ$31),"")</f>
        <v>300</v>
      </c>
      <c r="AS7" s="3">
        <f>INDEX($CI$8:$CI$17,MATCH($C$5,$CH$8:$CH$17,0))</f>
        <v>4</v>
      </c>
      <c r="AT7" s="19">
        <f>IFERROR(AS7*L7,"")</f>
        <v>20</v>
      </c>
      <c r="AU7" s="12">
        <f>IFERROR((AR7*AV7),0)</f>
        <v>1453.8461538461538</v>
      </c>
      <c r="AV7" s="21">
        <f>nspt($C$8)</f>
        <v>4.8461538461538458</v>
      </c>
      <c r="AW7" s="21">
        <f t="shared" ref="AW7:AW38" si="15">IF(E7&gt;$C$28,((K6-$C$28)*AW6+L7)/(K7-$C$28),0)</f>
        <v>0</v>
      </c>
      <c r="AX7" s="3" t="e">
        <f t="shared" ref="AX7:AX38" si="16">AK7</f>
        <v>#N/A</v>
      </c>
      <c r="AY7" s="48" t="e">
        <f>IF(K7&lt;=$C$28,NA(),AX7*AT7)</f>
        <v>#N/A</v>
      </c>
      <c r="AZ7" s="19" t="e">
        <f>IF(K7&lt;=$C$28,NA(),
         IF(CAPA!$I$13=0,$C$16*AU7,
              IF(CAPA!$I$13="Rp = 0",0,
                   IF(CAPA!$I$13="Rp &lt; RL",IF($C$16*AU7&gt;AY7,AY7,$C$16*AU7),$C$16*AU7))))</f>
        <v>#N/A</v>
      </c>
      <c r="BA7" s="11" t="e">
        <f t="shared" ref="BA7:BA38" si="17">IFERROR(IF(O7="",NA(),IF(K7&lt;=$C$28,NA(),AY7+AZ7)),NA())</f>
        <v>#N/A</v>
      </c>
      <c r="BB7" s="11" t="e">
        <f t="shared" ref="BB7:BB38" si="18">IFERROR(IF(O7="",NA(),IF(OR($C$5="D-Escavada",$C$5="H-Escavada (bentonita)",$C$5="J-Strauss"),(AY7/$C$24+AZ7/$C$25),(BA7/$C$26))),NA())</f>
        <v>#N/A</v>
      </c>
      <c r="BD7" s="2" t="e">
        <f t="shared" ref="BD7:BD38" si="19">(X7+AL7+AY7)/AX7</f>
        <v>#N/A</v>
      </c>
      <c r="BE7" s="48" t="e">
        <f>(AY7+AL7+X7)/3</f>
        <v>#N/A</v>
      </c>
      <c r="BF7" s="12" t="e">
        <f>(AM7+AZ7+Y7)/3</f>
        <v>#N/A</v>
      </c>
      <c r="BG7" s="11" t="e">
        <f t="shared" ref="BG7:BG38" si="20">(BA7+Z7+AN7)/3</f>
        <v>#N/A</v>
      </c>
      <c r="BH7" s="11" t="e">
        <f>BG7/2</f>
        <v>#N/A</v>
      </c>
      <c r="BI7" s="21"/>
      <c r="BK7" s="1" t="s">
        <v>1</v>
      </c>
      <c r="BL7" s="2" t="s">
        <v>2</v>
      </c>
      <c r="BM7" s="2" t="s">
        <v>3</v>
      </c>
      <c r="BN7" s="2"/>
      <c r="BO7" s="1" t="s">
        <v>4</v>
      </c>
      <c r="BP7" s="2" t="s">
        <v>5</v>
      </c>
      <c r="BQ7" s="2" t="s">
        <v>6</v>
      </c>
      <c r="BT7" s="1" t="s">
        <v>1</v>
      </c>
      <c r="BU7" s="2" t="s">
        <v>96</v>
      </c>
      <c r="BV7" s="2"/>
      <c r="BW7" s="2"/>
      <c r="BX7" s="2"/>
      <c r="BY7" s="2"/>
      <c r="BZ7" s="2"/>
      <c r="CA7" s="2"/>
      <c r="CG7" s="1" t="s">
        <v>1</v>
      </c>
      <c r="CI7" s="2" t="s">
        <v>112</v>
      </c>
      <c r="CJ7" s="2"/>
      <c r="CK7" s="2"/>
      <c r="CU7" s="2">
        <v>1</v>
      </c>
      <c r="CV7" s="2">
        <v>2</v>
      </c>
      <c r="CW7" s="2">
        <v>3</v>
      </c>
      <c r="CX7" s="2">
        <v>4</v>
      </c>
      <c r="CY7" s="2">
        <v>5</v>
      </c>
      <c r="CZ7" s="2">
        <v>6</v>
      </c>
      <c r="DA7" s="2">
        <v>7</v>
      </c>
      <c r="DH7">
        <v>-6</v>
      </c>
    </row>
    <row r="8" spans="1:112">
      <c r="B8" s="5" t="s">
        <v>13</v>
      </c>
      <c r="C8" s="3">
        <f>CAPA!I9</f>
        <v>26</v>
      </c>
      <c r="E8" s="2">
        <v>2</v>
      </c>
      <c r="F8" s="5" t="str">
        <f>IFERROR(LOOKUP(E8,CAPA!$C$8:$C$57,CAPA!$F$8:$F$57),"")</f>
        <v>D-areia argilosa</v>
      </c>
      <c r="G8" s="2" t="str">
        <f t="shared" si="0"/>
        <v>D</v>
      </c>
      <c r="H8" s="2" t="str">
        <f>IFERROR(LOOKUP(F8,Compatibilidade!$C$6:$C$20,Compatibilidade!$D$6:$D$20),"")</f>
        <v>C-silte arenoso</v>
      </c>
      <c r="I8" s="2" t="str">
        <f>IFERROR(LOOKUP(F8,Compatibilidade!$C$6:$C$20,Compatibilidade!$E$6:$E$20),"")</f>
        <v>B-Solos intermediários</v>
      </c>
      <c r="J8" s="2" t="str">
        <f>IFERROR(LOOKUP(F8,Compatibilidade!$C$6:$C$20,Compatibilidade!$F$6:$F$20),"")</f>
        <v>E-areia argilosa</v>
      </c>
      <c r="K8" s="124">
        <v>2</v>
      </c>
      <c r="L8" s="48">
        <f>IF(COUNTIF($BK$8:$BK$22,CAPA!F10)&gt;0,CAPA!D10,
        IF(CAPA!F10=$BK$23, IF(CAPA!$I$21="Nula",0,CAPA!D10),
             IF(CAPA!F10=$BK$24, IF(CAPA!$I$22="Negativa",-ABS(CAPA!D10),0),CAPA!D10)))</f>
        <v>5</v>
      </c>
      <c r="M8" s="48">
        <f>CAPA!E10</f>
        <v>16</v>
      </c>
      <c r="N8" s="2">
        <f t="shared" si="1"/>
        <v>1</v>
      </c>
      <c r="O8" s="8">
        <f t="shared" si="2"/>
        <v>0.03</v>
      </c>
      <c r="P8" s="3">
        <f t="shared" si="3"/>
        <v>0.6</v>
      </c>
      <c r="Q8" s="3">
        <f t="shared" ref="Q8:Q38" si="21">IFERROR(LOOKUP($C$5,$BO$8:$BO$17,$BP$8:$BP$17),"")</f>
        <v>1.33</v>
      </c>
      <c r="R8" s="3">
        <f t="shared" si="4"/>
        <v>2.66</v>
      </c>
      <c r="S8" s="3">
        <f t="shared" ref="S8:S56" si="22">IFERROR((O8*P8*1000*L8)/R8,0)</f>
        <v>33.834586466165412</v>
      </c>
      <c r="T8" s="12">
        <f>IFERROR(P8*1000*U8*(IF(K8&lt;=$C$28,0,1))/Q8,0)</f>
        <v>902.25563909774428</v>
      </c>
      <c r="U8" s="21">
        <f t="shared" ref="U8:U56" si="23">IFERROR(L9,0)</f>
        <v>2</v>
      </c>
      <c r="V8" s="21">
        <f t="shared" ref="V8:V38" si="24">IF(E8&gt;$C$28,((K7-$C$28)*AW7+L8)/(K8-$C$28),0)</f>
        <v>5</v>
      </c>
      <c r="W8" s="3">
        <f>IF(E8&gt;$C$28,$C$15,NA())</f>
        <v>0.81681408993334625</v>
      </c>
      <c r="X8" s="48">
        <f>IFERROR(W8*S8+X7,W8*S8)</f>
        <v>27.636566952632016</v>
      </c>
      <c r="Y8" s="48">
        <f>IF(W8="#N/D",NA(),
       IF(CAPA!$I$13=0,$C$16*T8,
            IF(CAPA!$I$13="Rp = 0",0,
                 IF(CAPA!$I$13="Rp &lt; RL",IF($C$16*T8&gt;X8,X8,$C$16*T8),$C$16*T8))))</f>
        <v>47.903382717895497</v>
      </c>
      <c r="Z8" s="48">
        <f>IF(O8="",NA(),IF(W8="#N/D",NA(),X8+Y8))</f>
        <v>75.539949670527506</v>
      </c>
      <c r="AA8" s="48">
        <f>IFERROR(IF(O8="",NA(),Z8/$D$26),NA())</f>
        <v>39.757868247646059</v>
      </c>
      <c r="AB8" s="108"/>
      <c r="AC8">
        <f t="shared" si="6"/>
        <v>1</v>
      </c>
      <c r="AD8" s="3">
        <f t="shared" si="7"/>
        <v>250</v>
      </c>
      <c r="AE8" s="3">
        <f t="shared" ref="AE8:AE38" si="25">IFERROR(LOOKUP(I8,$BS$21:$BS$23,$CD$21:$CD$23),"")</f>
        <v>1</v>
      </c>
      <c r="AF8" s="3">
        <f t="shared" si="8"/>
        <v>1</v>
      </c>
      <c r="AG8" s="3">
        <f>IF(OR(K8&lt;=C$28,AF8=""),0,IFERROR(10*((L8/3)+1),NA()))</f>
        <v>26.666666666666671</v>
      </c>
      <c r="AH8" s="12">
        <f>IFERROR((AD8*AI8),0)</f>
        <v>833.33333333333337</v>
      </c>
      <c r="AI8" s="21">
        <f t="shared" ref="AI8:AI56" si="26">IFERROR((AVERAGE(L8:L10)),0)</f>
        <v>3.3333333333333335</v>
      </c>
      <c r="AJ8" s="21">
        <f t="shared" si="10"/>
        <v>5</v>
      </c>
      <c r="AK8" s="3">
        <f t="shared" si="11"/>
        <v>0.81681408993334625</v>
      </c>
      <c r="AL8" s="48">
        <f>IF(AK8="#N/D",NA(),IFERROR(AF8*AK8*AG8+AL7,IFERROR(AF8*AK8*AG8,NA())))</f>
        <v>21.781709064889238</v>
      </c>
      <c r="AM8" s="12">
        <f>IF(AK8="#N/D",NA(),
        IF(CAPA!$I$13=0,AE8*$C$16*AH8,
             IF(CAPA!$I$13="Rp = 0",0,
                  IF(CAPA!$I$13="Rp &lt; RL",IF(AE8*$C$16*AH8&gt;AL8,AL8,AE8*$C$16*AH8),AE8*$C$16*AH8))))</f>
        <v>44.244096538056262</v>
      </c>
      <c r="AN8" s="46">
        <f t="shared" si="12"/>
        <v>66.025805602945496</v>
      </c>
      <c r="AO8" s="46">
        <f t="shared" ref="AO8:AO56" si="27">IFERROR((AL8/$B$24)+(AM8/$B$25),NA())</f>
        <v>33.012902801472748</v>
      </c>
      <c r="AQ8">
        <f t="shared" si="13"/>
        <v>1</v>
      </c>
      <c r="AR8" s="3">
        <f t="shared" si="14"/>
        <v>300</v>
      </c>
      <c r="AS8" s="3">
        <f t="shared" ref="AS8:AS56" si="28">INDEX($CI$8:$CI$17,MATCH($C$5,$CH$8:$CH$17,0))</f>
        <v>4</v>
      </c>
      <c r="AT8" s="19">
        <f>IFERROR(AS8*L8,"")</f>
        <v>20</v>
      </c>
      <c r="AU8" s="12">
        <f>IFERROR((AR8*AV8),0)</f>
        <v>1319.9999999999998</v>
      </c>
      <c r="AV8" s="21">
        <f t="shared" ref="AV8:AV56" si="29">nspt($C$8)</f>
        <v>4.3999999999999995</v>
      </c>
      <c r="AW8" s="21">
        <f>IF(E8&gt;$C$28,((K7-$C$28)*AW7+L8)/(K8-$C$28),0)</f>
        <v>5</v>
      </c>
      <c r="AX8" s="3">
        <f t="shared" si="16"/>
        <v>0.81681408993334625</v>
      </c>
      <c r="AY8" s="48">
        <f>IF(K8&lt;=$C$28,NA(),IFERROR(AX8*AT8+AY7,AX8*AT8))</f>
        <v>16.336281798666924</v>
      </c>
      <c r="AZ8" s="19">
        <f>IF(K8&lt;=$C$28,NA(),IF(CAPA!$I$13=0,$C$16*AU8,IF(CAPA!$I$13="Rp = 0",0,IF(CAPA!$I$13="Rp &lt; RL",IF($C$16*AU8&gt;AY8,AY8,$C$16*AU8),$C$16*AU8))))</f>
        <v>70.082648916281101</v>
      </c>
      <c r="BA8" s="11">
        <f>IFERROR(IF(O8="",NA(),IF(K8&lt;=$C$28,NA(),AY8+AZ8)),NA())</f>
        <v>86.418930714948033</v>
      </c>
      <c r="BB8" s="11">
        <f t="shared" si="18"/>
        <v>43.209465357474016</v>
      </c>
      <c r="BD8" s="119">
        <f>(X8+AL8+AY8)/AX8</f>
        <v>80.501253132832076</v>
      </c>
      <c r="BE8" s="48">
        <f t="shared" ref="BE8:BE56" si="30">(AY8+AL8+X8)/3</f>
        <v>21.91818593872939</v>
      </c>
      <c r="BF8" s="12">
        <f t="shared" ref="BF8:BF56" si="31">(AM8+AZ8+Y8)/3</f>
        <v>54.076709390744291</v>
      </c>
      <c r="BG8" s="11">
        <f>(BA8+Z8+AN8)/3</f>
        <v>75.994895329473678</v>
      </c>
      <c r="BH8" s="11">
        <f>BG8/2</f>
        <v>37.997447664736839</v>
      </c>
      <c r="BI8" s="21"/>
      <c r="BJ8" t="s">
        <v>20</v>
      </c>
      <c r="BK8" s="7" t="s">
        <v>35</v>
      </c>
      <c r="BL8" s="3">
        <v>1</v>
      </c>
      <c r="BM8" s="4">
        <v>1.4E-2</v>
      </c>
      <c r="BN8" s="2"/>
      <c r="BO8" s="1" t="s">
        <v>52</v>
      </c>
      <c r="BP8" s="3">
        <v>2.5</v>
      </c>
      <c r="BQ8" s="3">
        <f t="shared" ref="BQ8:BQ14" si="32">BP8*2</f>
        <v>5</v>
      </c>
      <c r="BS8" t="s">
        <v>20</v>
      </c>
      <c r="BT8" s="7" t="s">
        <v>93</v>
      </c>
      <c r="BU8" s="3">
        <v>120</v>
      </c>
      <c r="BV8" s="14" t="str">
        <f>BS21</f>
        <v>A-Argilas</v>
      </c>
      <c r="BW8" s="2"/>
      <c r="BX8" s="3"/>
      <c r="BY8" s="3"/>
      <c r="BZ8" s="3"/>
      <c r="CA8" s="3"/>
      <c r="CG8" s="1" t="s">
        <v>121</v>
      </c>
      <c r="CH8" t="str">
        <f>Compatibilidade!F26</f>
        <v>C-Pré-moldada</v>
      </c>
      <c r="CI8" s="3">
        <v>4</v>
      </c>
      <c r="CJ8" s="2">
        <v>1</v>
      </c>
      <c r="CK8" s="3"/>
      <c r="CS8" t="s">
        <v>4</v>
      </c>
      <c r="CU8" s="2" t="s">
        <v>61</v>
      </c>
      <c r="DE8" s="9" t="s">
        <v>63</v>
      </c>
      <c r="DH8">
        <v>-7</v>
      </c>
    </row>
    <row r="9" spans="1:112">
      <c r="E9" s="2">
        <v>3</v>
      </c>
      <c r="F9" s="5" t="str">
        <f>IFERROR(LOOKUP(E9,CAPA!$C$8:$C$57,CAPA!$F$8:$F$57),"")</f>
        <v>D-areia argilosa</v>
      </c>
      <c r="G9" s="2" t="str">
        <f t="shared" si="0"/>
        <v>D</v>
      </c>
      <c r="H9" s="2" t="str">
        <f>IFERROR(LOOKUP(F9,Compatibilidade!$C$6:$C$20,Compatibilidade!$D$6:$D$20),"")</f>
        <v>C-silte arenoso</v>
      </c>
      <c r="I9" s="2" t="str">
        <f>IFERROR(LOOKUP(F9,Compatibilidade!$C$6:$C$20,Compatibilidade!$E$6:$E$20),"")</f>
        <v>B-Solos intermediários</v>
      </c>
      <c r="J9" s="2" t="str">
        <f>IFERROR(LOOKUP(F9,Compatibilidade!$C$6:$C$20,Compatibilidade!$F$6:$F$20),"")</f>
        <v>E-areia argilosa</v>
      </c>
      <c r="K9" s="124">
        <v>3</v>
      </c>
      <c r="L9" s="48">
        <f>IF(COUNTIF($BK$8:$BK$22,CAPA!F11)&gt;0,CAPA!D11,
        IF(CAPA!F11=$BK$23, IF(CAPA!$I$21="Nula",0,CAPA!D11),
             IF(CAPA!F11=$BK$24, IF(CAPA!$I$22="Negativa",-ABS(CAPA!D11),0),CAPA!D11)))</f>
        <v>2</v>
      </c>
      <c r="M9" s="48">
        <f>CAPA!E11</f>
        <v>16</v>
      </c>
      <c r="N9" s="2">
        <f t="shared" si="1"/>
        <v>1</v>
      </c>
      <c r="O9" s="8">
        <f t="shared" si="2"/>
        <v>0.03</v>
      </c>
      <c r="P9" s="3">
        <f t="shared" si="3"/>
        <v>0.6</v>
      </c>
      <c r="Q9" s="3">
        <f t="shared" si="21"/>
        <v>1.33</v>
      </c>
      <c r="R9" s="3">
        <f t="shared" si="4"/>
        <v>2.66</v>
      </c>
      <c r="S9" s="3">
        <f t="shared" si="22"/>
        <v>13.533834586466165</v>
      </c>
      <c r="T9" s="12">
        <f t="shared" ref="T9:T56" si="33">IFERROR(P9*1000*U9*(IF(K9&lt;=$C$28,0,1))/Q9,0)</f>
        <v>1353.3834586466164</v>
      </c>
      <c r="U9" s="21">
        <f t="shared" si="23"/>
        <v>3</v>
      </c>
      <c r="V9" s="21">
        <f t="shared" si="24"/>
        <v>3.5</v>
      </c>
      <c r="W9" s="3">
        <f>IF(E9&gt;$C$28,$C$15,NA())</f>
        <v>0.81681408993334625</v>
      </c>
      <c r="X9" s="48">
        <f>IFERROR(W9*S9+X8,W9*S9)</f>
        <v>38.69119373368482</v>
      </c>
      <c r="Y9" s="48">
        <f>IF(W9="#N/D",NA(),IF(CAPA!$I$13=0,$C$16*T9,IF(CAPA!$I$13="Rp = 0",0,IF(CAPA!$I$13="Rp &lt; RL",IF($C$16*T9&gt;X9,X9,$C$16*T9),$C$16*T9))))</f>
        <v>71.855074076843238</v>
      </c>
      <c r="Z9" s="48">
        <f>IF(O9="",NA(),IF(W9="#N/D",NA(),X9+Y9))</f>
        <v>110.54626781052806</v>
      </c>
      <c r="AA9" s="48">
        <f t="shared" ref="AA9:AA56" si="34">IFERROR(IF(O9="",NA(),Z9/$D$26),NA())</f>
        <v>58.182246216067405</v>
      </c>
      <c r="AB9" s="108"/>
      <c r="AC9">
        <f t="shared" si="6"/>
        <v>1</v>
      </c>
      <c r="AD9" s="3">
        <f t="shared" si="7"/>
        <v>250</v>
      </c>
      <c r="AE9" s="3">
        <f t="shared" si="25"/>
        <v>1</v>
      </c>
      <c r="AF9" s="3">
        <f t="shared" si="8"/>
        <v>1</v>
      </c>
      <c r="AG9" s="3">
        <f t="shared" si="9"/>
        <v>16.666666666666664</v>
      </c>
      <c r="AH9" s="12">
        <f t="shared" ref="AH9:AH56" si="35">IFERROR((AD9*AI9),0)</f>
        <v>583.33333333333337</v>
      </c>
      <c r="AI9" s="21">
        <f t="shared" si="26"/>
        <v>2.3333333333333335</v>
      </c>
      <c r="AJ9" s="21">
        <f t="shared" si="10"/>
        <v>3.5</v>
      </c>
      <c r="AK9" s="3">
        <f t="shared" si="11"/>
        <v>0.81681408993334625</v>
      </c>
      <c r="AL9" s="48">
        <f t="shared" ref="AL9:AL27" si="36">IF(AK9="#N/D",NA(),IFERROR(AF9*AK9*AG9+AL8,IFERROR(AF9*AK9*AG9,NA())))</f>
        <v>35.395277230445004</v>
      </c>
      <c r="AM9" s="12">
        <f>IF(AK9="#N/D",NA(),
        IF(CAPA!$I$13=0,AE9*$C$16*AH9,
             IF(CAPA!$I$13="Rp = 0",0,
                  IF(CAPA!$I$13="Rp &lt; RL",IF(AE9*$C$16*AH9&gt;AL9,AL9,AE9*$C$16*AH9),AE9*$C$16*AH9))))</f>
        <v>30.970867576639385</v>
      </c>
      <c r="AN9" s="46">
        <f t="shared" si="12"/>
        <v>66.366144807084396</v>
      </c>
      <c r="AO9" s="46">
        <f t="shared" si="27"/>
        <v>33.183072403542198</v>
      </c>
      <c r="AQ9">
        <f t="shared" si="13"/>
        <v>1</v>
      </c>
      <c r="AR9" s="3">
        <f t="shared" si="14"/>
        <v>300</v>
      </c>
      <c r="AS9" s="3">
        <f t="shared" si="28"/>
        <v>4</v>
      </c>
      <c r="AT9" s="19">
        <f t="shared" ref="AT9:AT38" si="37">IFERROR(AS9*L9,"")</f>
        <v>8</v>
      </c>
      <c r="AU9" s="12">
        <f t="shared" ref="AU9:AU56" si="38">IFERROR((AR9*AV9),0)</f>
        <v>687.69230769230774</v>
      </c>
      <c r="AV9" s="21">
        <f t="shared" si="29"/>
        <v>2.2923076923076926</v>
      </c>
      <c r="AW9" s="21">
        <f t="shared" si="15"/>
        <v>3.5</v>
      </c>
      <c r="AX9" s="3">
        <f t="shared" si="16"/>
        <v>0.81681408993334625</v>
      </c>
      <c r="AY9" s="48">
        <f t="shared" ref="AY9:AY39" si="39">IF(K9&lt;=$C$28,NA(),IFERROR(AX9*AT9+AY8,AX9*AT9))</f>
        <v>22.870794518133692</v>
      </c>
      <c r="AZ9" s="19">
        <f>IF(K9&lt;=$C$28,NA(),IF(CAPA!$I$13=0,$C$16*AU9,IF(CAPA!$I$13="Rp = 0",0,IF(CAPA!$I$13="Rp &lt; RL",IF($C$16*AU9&gt;AY9,AY9,$C$16*AU9),$C$16*AU9))))</f>
        <v>36.511589820020582</v>
      </c>
      <c r="BA9" s="11">
        <f>IFERROR(IF(O9="",NA(),IF(K9&lt;=$C$28,NA(),AY9+AZ9)),NA())</f>
        <v>59.382384338154274</v>
      </c>
      <c r="BB9" s="11">
        <f t="shared" si="18"/>
        <v>29.691192169077137</v>
      </c>
      <c r="BD9" s="119">
        <f t="shared" si="19"/>
        <v>118.70175438596492</v>
      </c>
      <c r="BE9" s="48">
        <f t="shared" si="30"/>
        <v>32.319088494087843</v>
      </c>
      <c r="BF9" s="12">
        <f t="shared" si="31"/>
        <v>46.445843824501061</v>
      </c>
      <c r="BG9" s="11">
        <f>(BA9+Z9+AN9)/3</f>
        <v>78.764932318588919</v>
      </c>
      <c r="BH9" s="11">
        <f t="shared" ref="BH9:BH56" si="40">BG9/2</f>
        <v>39.382466159294459</v>
      </c>
      <c r="BI9" s="21"/>
      <c r="BJ9" t="s">
        <v>21</v>
      </c>
      <c r="BK9" s="7" t="s">
        <v>36</v>
      </c>
      <c r="BL9" s="3">
        <v>0.8</v>
      </c>
      <c r="BM9" s="4">
        <v>0.02</v>
      </c>
      <c r="BN9" s="2"/>
      <c r="BO9" s="1" t="s">
        <v>53</v>
      </c>
      <c r="BP9" s="3">
        <v>1.75</v>
      </c>
      <c r="BQ9" s="3">
        <f t="shared" si="32"/>
        <v>3.5</v>
      </c>
      <c r="BS9" t="s">
        <v>21</v>
      </c>
      <c r="BT9" s="7" t="s">
        <v>92</v>
      </c>
      <c r="BU9" s="3">
        <v>200</v>
      </c>
      <c r="BV9" s="14" t="str">
        <f>BS22</f>
        <v>B-Solos intermediários</v>
      </c>
      <c r="BW9" s="2"/>
      <c r="BX9" s="3"/>
      <c r="BY9" s="3"/>
      <c r="BZ9" s="3"/>
      <c r="CA9" s="3"/>
      <c r="CG9" s="1" t="s">
        <v>122</v>
      </c>
      <c r="CH9" t="str">
        <f>Compatibilidade!F25</f>
        <v>B-Metálica</v>
      </c>
      <c r="CI9" s="3">
        <v>4</v>
      </c>
      <c r="CJ9" s="2">
        <v>2</v>
      </c>
      <c r="CK9" s="3"/>
      <c r="CU9" s="2" t="str">
        <f>BO8</f>
        <v>A-Franki</v>
      </c>
      <c r="CV9" s="2" t="str">
        <f>BO9</f>
        <v>B-Metálica</v>
      </c>
      <c r="CW9" s="2" t="str">
        <f>BO10</f>
        <v>C-Pré-moldada</v>
      </c>
      <c r="CX9" s="2" t="str">
        <f>BO11</f>
        <v>D-Escavada</v>
      </c>
      <c r="CY9" s="2" t="str">
        <f>BO12</f>
        <v>E-Raiz</v>
      </c>
      <c r="CZ9" s="2" t="str">
        <f>BO13</f>
        <v>F-Hélice Contínua</v>
      </c>
      <c r="DA9" s="2" t="str">
        <f>BO14</f>
        <v>G-Ômega</v>
      </c>
      <c r="DB9" s="2" t="s">
        <v>127</v>
      </c>
      <c r="DC9" s="2" t="s">
        <v>128</v>
      </c>
      <c r="DD9" s="2" t="s">
        <v>147</v>
      </c>
      <c r="DE9" s="9" t="str">
        <f>C5</f>
        <v>C-Pré-moldada</v>
      </c>
      <c r="DH9">
        <v>-8</v>
      </c>
    </row>
    <row r="10" spans="1:112">
      <c r="A10">
        <f>IF(CAPA!$I$8=TRUE,1,"")</f>
        <v>1</v>
      </c>
      <c r="B10" t="s">
        <v>85</v>
      </c>
      <c r="C10" s="10">
        <f>IF(B1=TRUE,PI()*C8/100,"")</f>
        <v>0.81681408993334625</v>
      </c>
      <c r="E10" s="2">
        <v>4</v>
      </c>
      <c r="F10" s="5" t="str">
        <f>IFERROR(LOOKUP(E10,CAPA!$C$8:$C$57,CAPA!$F$8:$F$57),"")</f>
        <v>D-areia argilosa</v>
      </c>
      <c r="G10" s="2" t="str">
        <f t="shared" si="0"/>
        <v>D</v>
      </c>
      <c r="H10" s="2" t="str">
        <f>IFERROR(LOOKUP(F10,Compatibilidade!$C$6:$C$20,Compatibilidade!$D$6:$D$20),"")</f>
        <v>C-silte arenoso</v>
      </c>
      <c r="I10" s="2" t="str">
        <f>IFERROR(LOOKUP(F10,Compatibilidade!$C$6:$C$20,Compatibilidade!$E$6:$E$20),"")</f>
        <v>B-Solos intermediários</v>
      </c>
      <c r="J10" s="2" t="str">
        <f>IFERROR(LOOKUP(F10,Compatibilidade!$C$6:$C$20,Compatibilidade!$F$6:$F$20),"")</f>
        <v>E-areia argilosa</v>
      </c>
      <c r="K10" s="124">
        <v>4</v>
      </c>
      <c r="L10" s="48">
        <f>IF(COUNTIF($BK$8:$BK$22,CAPA!F12)&gt;0,CAPA!D12,
        IF(CAPA!F12=$BK$23, IF(CAPA!$I$21="Nula",0,CAPA!D12),
             IF(CAPA!F12=$BK$24, IF(CAPA!$I$22="Negativa",-ABS(CAPA!D12),0),CAPA!D12)))</f>
        <v>3</v>
      </c>
      <c r="M10" s="48">
        <f>CAPA!E12</f>
        <v>16</v>
      </c>
      <c r="N10" s="2">
        <f t="shared" si="1"/>
        <v>1</v>
      </c>
      <c r="O10" s="8">
        <f t="shared" si="2"/>
        <v>0.03</v>
      </c>
      <c r="P10" s="3">
        <f t="shared" si="3"/>
        <v>0.6</v>
      </c>
      <c r="Q10" s="3">
        <f t="shared" si="21"/>
        <v>1.33</v>
      </c>
      <c r="R10" s="3">
        <f t="shared" si="4"/>
        <v>2.66</v>
      </c>
      <c r="S10" s="3">
        <f>IFERROR((O10*P10*1000*L10)/R10,0)</f>
        <v>20.300751879699249</v>
      </c>
      <c r="T10" s="12">
        <f t="shared" si="33"/>
        <v>902.25563909774428</v>
      </c>
      <c r="U10" s="21">
        <f t="shared" si="23"/>
        <v>2</v>
      </c>
      <c r="V10" s="21">
        <f t="shared" si="24"/>
        <v>3.3333333333333335</v>
      </c>
      <c r="W10" s="3">
        <f t="shared" ref="W10:W56" si="41">IF(E10&gt;$C$28,$C$15,NA())</f>
        <v>0.81681408993334625</v>
      </c>
      <c r="X10" s="48">
        <f t="shared" si="5"/>
        <v>55.273133905264032</v>
      </c>
      <c r="Y10" s="48">
        <f>IF(W10="#N/D",NA(),IF(CAPA!$I$13=0,$C$16*T10,IF(CAPA!$I$13="Rp = 0",0,IF(CAPA!$I$13="Rp &lt; RL",IF($C$16*T10&gt;X10,X10,$C$16*T10),$C$16*T10))))</f>
        <v>47.903382717895497</v>
      </c>
      <c r="Z10" s="48">
        <f t="shared" ref="Z10:Z16" si="42">IF(O10="",NA(),IF(W10="#N/D",NA(),X10+Y10))</f>
        <v>103.17651662315953</v>
      </c>
      <c r="AA10" s="48">
        <f t="shared" si="34"/>
        <v>54.303429801662915</v>
      </c>
      <c r="AB10" s="108"/>
      <c r="AC10">
        <f t="shared" si="6"/>
        <v>1</v>
      </c>
      <c r="AD10" s="3">
        <f t="shared" si="7"/>
        <v>250</v>
      </c>
      <c r="AE10" s="3">
        <f t="shared" si="25"/>
        <v>1</v>
      </c>
      <c r="AF10" s="3">
        <f t="shared" si="8"/>
        <v>1</v>
      </c>
      <c r="AG10" s="3">
        <f t="shared" si="9"/>
        <v>20</v>
      </c>
      <c r="AH10" s="12">
        <f t="shared" si="35"/>
        <v>750</v>
      </c>
      <c r="AI10" s="21">
        <f t="shared" si="26"/>
        <v>3</v>
      </c>
      <c r="AJ10" s="21">
        <f t="shared" si="10"/>
        <v>3.3333333333333335</v>
      </c>
      <c r="AK10" s="3">
        <f t="shared" si="11"/>
        <v>0.81681408993334625</v>
      </c>
      <c r="AL10" s="48">
        <f>IF(AK10="#N/D",NA(),IFERROR(AF10*AK10*AG10+AL9,IFERROR(AF10*AK10*AG10,NA())))</f>
        <v>51.731559029111928</v>
      </c>
      <c r="AM10" s="12">
        <f>IF(AK10="#N/D",NA(),
        IF(CAPA!$I$13=0,AE10*$C$16*AH10,
             IF(CAPA!$I$13="Rp = 0",0,
                  IF(CAPA!$I$13="Rp &lt; RL",IF(AE10*$C$16*AH10&gt;AL10,AL10,AE10*$C$16*AH10),AE10*$C$16*AH10))))</f>
        <v>39.819686884250636</v>
      </c>
      <c r="AN10" s="46">
        <f t="shared" si="12"/>
        <v>91.551245913362564</v>
      </c>
      <c r="AO10" s="46">
        <f>IFERROR((AL10/$B$24)+(AM10/$B$25),NA())</f>
        <v>45.775622956681282</v>
      </c>
      <c r="AQ10">
        <f t="shared" si="13"/>
        <v>1</v>
      </c>
      <c r="AR10" s="3">
        <f t="shared" si="14"/>
        <v>300</v>
      </c>
      <c r="AS10" s="3">
        <f t="shared" si="28"/>
        <v>4</v>
      </c>
      <c r="AT10" s="19">
        <f t="shared" si="37"/>
        <v>12</v>
      </c>
      <c r="AU10" s="12">
        <f t="shared" si="38"/>
        <v>830.76923076923072</v>
      </c>
      <c r="AV10" s="21">
        <f t="shared" si="29"/>
        <v>2.7692307692307692</v>
      </c>
      <c r="AW10" s="21">
        <f t="shared" si="15"/>
        <v>3.3333333333333335</v>
      </c>
      <c r="AX10" s="3">
        <f t="shared" si="16"/>
        <v>0.81681408993334625</v>
      </c>
      <c r="AY10" s="48">
        <f t="shared" si="39"/>
        <v>32.672563597333848</v>
      </c>
      <c r="AZ10" s="19">
        <f>IF(K10&lt;=$C$28,NA(),IF(CAPA!$I$13=0,$C$16*AU10,IF(CAPA!$I$13="Rp = 0",0,IF(CAPA!$I$13="Rp &lt; RL",IF($C$16*AU10&gt;AY10,AY10,$C$16*AU10),$C$16*AU10))))</f>
        <v>44.107960856400702</v>
      </c>
      <c r="BA10" s="11">
        <f t="shared" si="17"/>
        <v>76.780524453734557</v>
      </c>
      <c r="BB10" s="11">
        <f>IFERROR(IF(O10="",NA(),IF(OR($C$5="D-Escavada",$C$5="H-Escavada (bentonita)",$C$5="J-Strauss"),(AY10/$C$24+AZ10/$C$25),(BA10/$C$26))),NA())</f>
        <v>38.390262226867279</v>
      </c>
      <c r="BC10" s="48"/>
      <c r="BD10" s="119">
        <f>(X10+AL10+AY10)/AX10</f>
        <v>171.00250626566415</v>
      </c>
      <c r="BE10" s="48">
        <f t="shared" si="30"/>
        <v>46.559085510569936</v>
      </c>
      <c r="BF10" s="12">
        <f t="shared" si="31"/>
        <v>43.943676819515609</v>
      </c>
      <c r="BG10" s="11">
        <f>(BA10+Z10+AN10)/3</f>
        <v>90.502762330085545</v>
      </c>
      <c r="BH10" s="11">
        <f t="shared" si="40"/>
        <v>45.251381165042773</v>
      </c>
      <c r="BI10" s="21"/>
      <c r="BJ10" t="s">
        <v>22</v>
      </c>
      <c r="BK10" s="7" t="s">
        <v>37</v>
      </c>
      <c r="BL10" s="3">
        <v>0.7</v>
      </c>
      <c r="BM10" s="4">
        <v>2.4E-2</v>
      </c>
      <c r="BN10" s="2"/>
      <c r="BO10" s="1" t="s">
        <v>54</v>
      </c>
      <c r="BP10" s="3">
        <f>ROUND(1+(C8/100)/0.8,2)</f>
        <v>1.33</v>
      </c>
      <c r="BQ10" s="3">
        <f t="shared" si="32"/>
        <v>2.66</v>
      </c>
      <c r="BS10" t="s">
        <v>22</v>
      </c>
      <c r="BT10" s="7" t="s">
        <v>94</v>
      </c>
      <c r="BU10" s="3">
        <v>250</v>
      </c>
      <c r="BV10" s="14" t="str">
        <f>BS22</f>
        <v>B-Solos intermediários</v>
      </c>
      <c r="BW10" s="2"/>
      <c r="BX10" s="3"/>
      <c r="BY10" s="3"/>
      <c r="BZ10" s="3"/>
      <c r="CA10" s="3"/>
      <c r="CG10" s="1" t="s">
        <v>123</v>
      </c>
      <c r="CH10" t="str">
        <f>Compatibilidade!F24</f>
        <v>A-Franki</v>
      </c>
      <c r="CI10" s="3">
        <v>5</v>
      </c>
      <c r="CJ10" s="2">
        <v>3</v>
      </c>
      <c r="CK10" s="3"/>
      <c r="CU10" s="2">
        <v>1</v>
      </c>
      <c r="CV10" s="2">
        <v>2</v>
      </c>
      <c r="CW10" s="2">
        <v>3</v>
      </c>
      <c r="CX10" s="2">
        <v>4</v>
      </c>
      <c r="CY10" s="2">
        <v>5</v>
      </c>
      <c r="CZ10" s="2">
        <v>6</v>
      </c>
      <c r="DA10" s="2">
        <v>7</v>
      </c>
      <c r="DB10" s="2">
        <v>8</v>
      </c>
      <c r="DC10" s="2">
        <v>9</v>
      </c>
      <c r="DD10" s="2">
        <v>10</v>
      </c>
      <c r="DE10" s="9"/>
      <c r="DH10">
        <v>-9</v>
      </c>
    </row>
    <row r="11" spans="1:112">
      <c r="A11">
        <f>IF(CAPA!$I$8=TRUE,2,"")</f>
        <v>2</v>
      </c>
      <c r="B11" t="s">
        <v>86</v>
      </c>
      <c r="C11" s="10" t="str">
        <f>IF(B1=FALSE,CAPA!I11,"")</f>
        <v/>
      </c>
      <c r="E11" s="2">
        <v>5</v>
      </c>
      <c r="F11" s="5" t="str">
        <f>IFERROR(LOOKUP(E11,CAPA!$C$8:$C$57,CAPA!$F$8:$F$57),"")</f>
        <v>D-areia argilosa</v>
      </c>
      <c r="G11" s="2" t="str">
        <f t="shared" si="0"/>
        <v>D</v>
      </c>
      <c r="H11" s="2" t="str">
        <f>IFERROR(LOOKUP(F11,Compatibilidade!$C$6:$C$20,Compatibilidade!$D$6:$D$20),"")</f>
        <v>C-silte arenoso</v>
      </c>
      <c r="I11" s="2" t="str">
        <f>IFERROR(LOOKUP(F11,Compatibilidade!$C$6:$C$20,Compatibilidade!$E$6:$E$20),"")</f>
        <v>B-Solos intermediários</v>
      </c>
      <c r="J11" s="2" t="str">
        <f>IFERROR(LOOKUP(F11,Compatibilidade!$C$6:$C$20,Compatibilidade!$F$6:$F$20),"")</f>
        <v>E-areia argilosa</v>
      </c>
      <c r="K11" s="124">
        <v>5</v>
      </c>
      <c r="L11" s="48">
        <f>IF(COUNTIF($BK$8:$BK$22,CAPA!F13)&gt;0,CAPA!D13,
        IF(CAPA!F13=$BK$23, IF(CAPA!$I$21="Nula",0,CAPA!D13),
             IF(CAPA!F13=$BK$24, IF(CAPA!$I$22="Negativa",-ABS(CAPA!D13),0),CAPA!D13)))</f>
        <v>2</v>
      </c>
      <c r="M11" s="48">
        <f>CAPA!E13</f>
        <v>16</v>
      </c>
      <c r="N11" s="2">
        <f t="shared" si="1"/>
        <v>1</v>
      </c>
      <c r="O11" s="8">
        <f t="shared" si="2"/>
        <v>0.03</v>
      </c>
      <c r="P11" s="3">
        <f t="shared" si="3"/>
        <v>0.6</v>
      </c>
      <c r="Q11" s="3">
        <f t="shared" si="21"/>
        <v>1.33</v>
      </c>
      <c r="R11" s="3">
        <f t="shared" si="4"/>
        <v>2.66</v>
      </c>
      <c r="S11" s="3">
        <f>IFERROR((O11*P11*1000*L11)/R11,0)</f>
        <v>13.533834586466165</v>
      </c>
      <c r="T11" s="12">
        <f t="shared" si="33"/>
        <v>1804.5112781954886</v>
      </c>
      <c r="U11" s="21">
        <f t="shared" si="23"/>
        <v>4</v>
      </c>
      <c r="V11" s="21">
        <f t="shared" si="24"/>
        <v>3</v>
      </c>
      <c r="W11" s="3">
        <f t="shared" si="41"/>
        <v>0.81681408993334625</v>
      </c>
      <c r="X11" s="48">
        <f t="shared" si="5"/>
        <v>66.327760686316836</v>
      </c>
      <c r="Y11" s="48">
        <f>IF(W11="#N/D",NA(),IF(CAPA!$I$13=0,$C$16*T11,IF(CAPA!$I$13="Rp = 0",0,IF(CAPA!$I$13="Rp &lt; RL",IF($C$16*T11&gt;X11,X11,$C$16*T11),$C$16*T11))))</f>
        <v>95.806765435790993</v>
      </c>
      <c r="Z11" s="48">
        <f>IF(O11="",NA(),IF(W11="#N/D",NA(),X11+Y11))</f>
        <v>162.13452612210784</v>
      </c>
      <c r="AA11" s="48">
        <f t="shared" si="34"/>
        <v>85.333961116898863</v>
      </c>
      <c r="AB11" s="108"/>
      <c r="AC11">
        <f t="shared" si="6"/>
        <v>1</v>
      </c>
      <c r="AD11" s="3">
        <f t="shared" si="7"/>
        <v>250</v>
      </c>
      <c r="AE11" s="3">
        <f t="shared" si="25"/>
        <v>1</v>
      </c>
      <c r="AF11" s="3">
        <f t="shared" si="8"/>
        <v>1</v>
      </c>
      <c r="AG11" s="3">
        <f t="shared" si="9"/>
        <v>16.666666666666664</v>
      </c>
      <c r="AH11" s="12">
        <f t="shared" si="35"/>
        <v>833.33333333333337</v>
      </c>
      <c r="AI11" s="21">
        <f>IFERROR((AVERAGE(L11:L13)),0)</f>
        <v>3.3333333333333335</v>
      </c>
      <c r="AJ11" s="21">
        <f t="shared" si="10"/>
        <v>3</v>
      </c>
      <c r="AK11" s="3">
        <f t="shared" si="11"/>
        <v>0.81681408993334625</v>
      </c>
      <c r="AL11" s="48">
        <f t="shared" si="36"/>
        <v>65.345127194667697</v>
      </c>
      <c r="AM11" s="12">
        <f>IF(AK11="#N/D",NA(),
        IF(CAPA!$I$13=0,AE11*$C$16*AH11,
             IF(CAPA!$I$13="Rp = 0",0,
                  IF(CAPA!$I$13="Rp &lt; RL",IF(AE11*$C$16*AH11&gt;AL11,AL11,AE11*$C$16*AH11),AE11*$C$16*AH11))))</f>
        <v>44.244096538056262</v>
      </c>
      <c r="AN11" s="46">
        <f t="shared" si="12"/>
        <v>109.58922373272395</v>
      </c>
      <c r="AO11" s="46">
        <f>IFERROR((AL11/$B$24)+(AM11/$B$25),NA())</f>
        <v>54.794611866361976</v>
      </c>
      <c r="AQ11">
        <f t="shared" si="13"/>
        <v>1</v>
      </c>
      <c r="AR11" s="3">
        <f t="shared" si="14"/>
        <v>300</v>
      </c>
      <c r="AS11" s="3">
        <f t="shared" si="28"/>
        <v>4</v>
      </c>
      <c r="AT11" s="19">
        <f>IFERROR(AS11*L11,"")</f>
        <v>8</v>
      </c>
      <c r="AU11" s="12">
        <f t="shared" si="38"/>
        <v>729.23076923076928</v>
      </c>
      <c r="AV11" s="21">
        <f t="shared" si="29"/>
        <v>2.430769230769231</v>
      </c>
      <c r="AW11" s="21">
        <f t="shared" si="15"/>
        <v>3</v>
      </c>
      <c r="AX11" s="3">
        <f t="shared" si="16"/>
        <v>0.81681408993334625</v>
      </c>
      <c r="AY11" s="48">
        <f t="shared" si="39"/>
        <v>39.207076316800617</v>
      </c>
      <c r="AZ11" s="19">
        <f>IF(K11&lt;=$C$28,NA(),IF(CAPA!$I$13=0,$C$16*AU11,IF(CAPA!$I$13="Rp = 0",0,IF(CAPA!$I$13="Rp &lt; RL",IF($C$16*AU11&gt;AY11,AY11,$C$16*AU11),$C$16*AU11))))</f>
        <v>38.716987862840618</v>
      </c>
      <c r="BA11" s="11">
        <f t="shared" si="17"/>
        <v>77.924064179641235</v>
      </c>
      <c r="BB11" s="11">
        <f t="shared" si="18"/>
        <v>38.962032089820617</v>
      </c>
      <c r="BD11" s="119">
        <f t="shared" si="19"/>
        <v>209.20300751879699</v>
      </c>
      <c r="BE11" s="48">
        <f t="shared" si="30"/>
        <v>56.959988065928393</v>
      </c>
      <c r="BF11" s="12">
        <f t="shared" si="31"/>
        <v>59.589283278895955</v>
      </c>
      <c r="BG11" s="11">
        <f t="shared" si="20"/>
        <v>116.54927134482433</v>
      </c>
      <c r="BH11" s="11">
        <f t="shared" si="40"/>
        <v>58.274635672412167</v>
      </c>
      <c r="BI11" s="21"/>
      <c r="BJ11" t="s">
        <v>23</v>
      </c>
      <c r="BK11" s="7" t="s">
        <v>38</v>
      </c>
      <c r="BL11" s="3">
        <v>0.6</v>
      </c>
      <c r="BM11" s="4">
        <v>0.03</v>
      </c>
      <c r="BN11" s="2"/>
      <c r="BO11" s="1" t="s">
        <v>55</v>
      </c>
      <c r="BP11" s="3">
        <v>3</v>
      </c>
      <c r="BQ11" s="3">
        <f t="shared" si="32"/>
        <v>6</v>
      </c>
      <c r="BS11" t="s">
        <v>23</v>
      </c>
      <c r="BT11" s="7" t="s">
        <v>95</v>
      </c>
      <c r="BU11" s="3">
        <v>400</v>
      </c>
      <c r="BV11" s="1" t="str">
        <f>BS23</f>
        <v>C-Areias</v>
      </c>
      <c r="CG11" s="1" t="s">
        <v>124</v>
      </c>
      <c r="CH11" t="str">
        <f>Compatibilidade!F27</f>
        <v>D-Escavada</v>
      </c>
      <c r="CI11" s="3">
        <v>4</v>
      </c>
      <c r="CJ11" s="2">
        <v>4</v>
      </c>
      <c r="CS11" t="s">
        <v>7</v>
      </c>
      <c r="CT11" s="2">
        <v>1</v>
      </c>
      <c r="CU11" s="2">
        <v>30</v>
      </c>
      <c r="CV11" s="2">
        <v>20</v>
      </c>
      <c r="CW11" s="2">
        <v>26</v>
      </c>
      <c r="CX11" s="2">
        <v>20</v>
      </c>
      <c r="CY11" s="2">
        <v>10</v>
      </c>
      <c r="CZ11" s="2">
        <v>25</v>
      </c>
      <c r="DA11" s="2">
        <v>27</v>
      </c>
      <c r="DB11" s="2">
        <v>40</v>
      </c>
      <c r="DC11" s="2">
        <v>8</v>
      </c>
      <c r="DD11" s="2">
        <v>25</v>
      </c>
      <c r="DE11" s="9">
        <f>LOOKUP($DE$9,$CU$9:$DD$9,CU11:DD11)</f>
        <v>26</v>
      </c>
      <c r="DH11">
        <v>-10</v>
      </c>
    </row>
    <row r="12" spans="1:112">
      <c r="A12">
        <f>IF(CAPA!$I$8=TRUE,3,"")</f>
        <v>3</v>
      </c>
      <c r="B12" s="5" t="s">
        <v>83</v>
      </c>
      <c r="C12" s="10">
        <f>IF(B1=TRUE,(PI()*(C8/100)^2)/4,"")</f>
        <v>5.3092915845667513E-2</v>
      </c>
      <c r="E12" s="2">
        <v>6</v>
      </c>
      <c r="F12" s="5" t="str">
        <f>IFERROR(LOOKUP(E12,CAPA!$C$8:$C$57,CAPA!$F$8:$F$57),"")</f>
        <v>D-areia argilosa</v>
      </c>
      <c r="G12" s="2" t="str">
        <f t="shared" si="0"/>
        <v>D</v>
      </c>
      <c r="H12" s="2" t="str">
        <f>IFERROR(LOOKUP(F12,Compatibilidade!$C$6:$C$20,Compatibilidade!$D$6:$D$20),"")</f>
        <v>C-silte arenoso</v>
      </c>
      <c r="I12" s="2" t="str">
        <f>IFERROR(LOOKUP(F12,Compatibilidade!$C$6:$C$20,Compatibilidade!$E$6:$E$20),"")</f>
        <v>B-Solos intermediários</v>
      </c>
      <c r="J12" s="2" t="str">
        <f>IFERROR(LOOKUP(F12,Compatibilidade!$C$6:$C$20,Compatibilidade!$F$6:$F$20),"")</f>
        <v>E-areia argilosa</v>
      </c>
      <c r="K12" s="124">
        <v>6</v>
      </c>
      <c r="L12" s="48">
        <f>IF(COUNTIF($BK$8:$BK$22,CAPA!F14)&gt;0,CAPA!D14,
        IF(CAPA!F14=$BK$23, IF(CAPA!$I$21="Nula",0,CAPA!D14),
             IF(CAPA!F14=$BK$24, IF(CAPA!$I$22="Negativa",-ABS(CAPA!D14),0),CAPA!D14)))</f>
        <v>4</v>
      </c>
      <c r="M12" s="48">
        <f>CAPA!E14</f>
        <v>16</v>
      </c>
      <c r="N12" s="2">
        <f t="shared" si="1"/>
        <v>1</v>
      </c>
      <c r="O12" s="8">
        <f t="shared" si="2"/>
        <v>0.03</v>
      </c>
      <c r="P12" s="3">
        <f t="shared" si="3"/>
        <v>0.6</v>
      </c>
      <c r="Q12" s="3">
        <f t="shared" si="21"/>
        <v>1.33</v>
      </c>
      <c r="R12" s="3">
        <f t="shared" si="4"/>
        <v>2.66</v>
      </c>
      <c r="S12" s="3">
        <f t="shared" si="22"/>
        <v>27.06766917293233</v>
      </c>
      <c r="T12" s="12">
        <f>IFERROR(P12*1000*U12*(IF(K12&lt;=$C$28,0,1))/Q12,0)</f>
        <v>1804.5112781954886</v>
      </c>
      <c r="U12" s="21">
        <f t="shared" si="23"/>
        <v>4</v>
      </c>
      <c r="V12" s="21">
        <f t="shared" si="24"/>
        <v>3.2</v>
      </c>
      <c r="W12" s="3">
        <f t="shared" si="41"/>
        <v>0.81681408993334625</v>
      </c>
      <c r="X12" s="48">
        <f t="shared" si="5"/>
        <v>88.437014248422443</v>
      </c>
      <c r="Y12" s="48">
        <f>IF(W12="#N/D",NA(),IF(CAPA!$I$13=0,$C$16*T12,IF(CAPA!$I$13="Rp = 0",0,IF(CAPA!$I$13="Rp &lt; RL",IF($C$16*T12&gt;X12,X12,$C$16*T12),$C$16*T12))))</f>
        <v>95.806765435790993</v>
      </c>
      <c r="Z12" s="48">
        <f t="shared" si="42"/>
        <v>184.24377968421345</v>
      </c>
      <c r="AA12" s="48">
        <f>IFERROR(IF(O12="",NA(),Z12/$D$26),NA())</f>
        <v>96.970410360112353</v>
      </c>
      <c r="AB12" s="108"/>
      <c r="AC12">
        <f t="shared" si="6"/>
        <v>1</v>
      </c>
      <c r="AD12" s="3">
        <f t="shared" si="7"/>
        <v>250</v>
      </c>
      <c r="AE12" s="3">
        <f t="shared" si="25"/>
        <v>1</v>
      </c>
      <c r="AF12" s="3">
        <f t="shared" si="8"/>
        <v>1</v>
      </c>
      <c r="AG12" s="3">
        <f t="shared" si="9"/>
        <v>23.333333333333329</v>
      </c>
      <c r="AH12" s="12">
        <f t="shared" si="35"/>
        <v>1250</v>
      </c>
      <c r="AI12" s="21">
        <f t="shared" si="26"/>
        <v>5</v>
      </c>
      <c r="AJ12" s="21">
        <f t="shared" si="10"/>
        <v>3.2</v>
      </c>
      <c r="AK12" s="3">
        <f t="shared" si="11"/>
        <v>0.81681408993334625</v>
      </c>
      <c r="AL12" s="48">
        <f t="shared" si="36"/>
        <v>84.404122626445769</v>
      </c>
      <c r="AM12" s="12">
        <f>IF(AK12="#N/D",NA(),
        IF(CAPA!$I$13=0,AE12*$C$16*AH12,
             IF(CAPA!$I$13="Rp = 0",0,
                  IF(CAPA!$I$13="Rp &lt; RL",IF(AE12*$C$16*AH12&gt;AL12,AL12,AE12*$C$16*AH12),AE12*$C$16*AH12))))</f>
        <v>66.366144807084396</v>
      </c>
      <c r="AN12" s="46">
        <f t="shared" si="12"/>
        <v>150.77026743353017</v>
      </c>
      <c r="AO12" s="46">
        <f t="shared" si="27"/>
        <v>75.385133716765083</v>
      </c>
      <c r="AQ12">
        <f t="shared" si="13"/>
        <v>1</v>
      </c>
      <c r="AR12" s="3">
        <f t="shared" si="14"/>
        <v>300</v>
      </c>
      <c r="AS12" s="3">
        <f t="shared" si="28"/>
        <v>4</v>
      </c>
      <c r="AT12" s="19">
        <f t="shared" si="37"/>
        <v>16</v>
      </c>
      <c r="AU12" s="12">
        <f t="shared" si="38"/>
        <v>1181.5384615384614</v>
      </c>
      <c r="AV12" s="21">
        <f t="shared" si="29"/>
        <v>3.9384615384615382</v>
      </c>
      <c r="AW12" s="21">
        <f t="shared" si="15"/>
        <v>3.2</v>
      </c>
      <c r="AX12" s="3">
        <f t="shared" si="16"/>
        <v>0.81681408993334625</v>
      </c>
      <c r="AY12" s="48">
        <f>IF(K12&lt;=$C$28,NA(),IFERROR(AX12*AT12+AY11,AX12*AT12))</f>
        <v>52.27610175573416</v>
      </c>
      <c r="AZ12" s="19">
        <f>IF(K12&lt;=$C$28,NA(),IF(CAPA!$I$13=0,$C$16*AU12,IF(CAPA!$I$13="Rp = 0",0,IF(CAPA!$I$13="Rp &lt; RL",IF($C$16*AU12&gt;AY12,AY12,$C$16*AU12),$C$16*AU12))))</f>
        <v>62.731322106880995</v>
      </c>
      <c r="BA12" s="11">
        <f t="shared" si="17"/>
        <v>115.00742386261516</v>
      </c>
      <c r="BB12" s="11">
        <f t="shared" si="18"/>
        <v>57.503711931307578</v>
      </c>
      <c r="BD12" s="119">
        <f t="shared" si="19"/>
        <v>275.60401002506262</v>
      </c>
      <c r="BE12" s="48">
        <f t="shared" si="30"/>
        <v>75.039079543534115</v>
      </c>
      <c r="BF12" s="12">
        <f t="shared" si="31"/>
        <v>74.968077449918795</v>
      </c>
      <c r="BG12" s="11">
        <f t="shared" si="20"/>
        <v>150.00715699345292</v>
      </c>
      <c r="BH12" s="11">
        <f t="shared" si="40"/>
        <v>75.003578496726462</v>
      </c>
      <c r="BI12" s="21"/>
      <c r="BJ12" t="s">
        <v>24</v>
      </c>
      <c r="BK12" s="7" t="s">
        <v>39</v>
      </c>
      <c r="BL12" s="3">
        <v>0.5</v>
      </c>
      <c r="BM12" s="4">
        <v>2.8000000000000001E-2</v>
      </c>
      <c r="BN12" s="2"/>
      <c r="BO12" s="1" t="s">
        <v>56</v>
      </c>
      <c r="BP12" s="3">
        <v>2</v>
      </c>
      <c r="BQ12" s="3">
        <f t="shared" si="32"/>
        <v>4</v>
      </c>
      <c r="CG12" t="s">
        <v>56</v>
      </c>
      <c r="CH12" t="str">
        <f>Compatibilidade!F28</f>
        <v>E-Raiz</v>
      </c>
      <c r="CI12" s="3">
        <v>6</v>
      </c>
      <c r="CJ12" s="2">
        <v>5</v>
      </c>
      <c r="CS12" t="s">
        <v>8</v>
      </c>
      <c r="CT12" s="2">
        <v>2</v>
      </c>
      <c r="CU12" s="2">
        <v>35</v>
      </c>
      <c r="CV12" s="2">
        <v>25</v>
      </c>
      <c r="CW12" s="2">
        <v>33</v>
      </c>
      <c r="CX12" s="2">
        <v>25</v>
      </c>
      <c r="CY12" s="2">
        <v>12</v>
      </c>
      <c r="CZ12" s="2">
        <v>30</v>
      </c>
      <c r="DA12" s="2">
        <v>32</v>
      </c>
      <c r="DB12" s="2">
        <v>50</v>
      </c>
      <c r="DC12" s="2">
        <v>10</v>
      </c>
      <c r="DD12" s="2">
        <v>32</v>
      </c>
      <c r="DE12" s="9">
        <f t="shared" ref="DE12:DE23" si="43">LOOKUP($DE$9,$CU$9:$DD$9,CU12:DD12)</f>
        <v>33</v>
      </c>
      <c r="DH12">
        <v>-11</v>
      </c>
    </row>
    <row r="13" spans="1:112">
      <c r="A13">
        <f>IF(CAPA!$I$8=TRUE,4,"")</f>
        <v>4</v>
      </c>
      <c r="B13" s="5" t="s">
        <v>84</v>
      </c>
      <c r="C13" s="10" t="str">
        <f>IF(B1=FALSE,CAPA!I12,"")</f>
        <v/>
      </c>
      <c r="E13" s="2">
        <v>7</v>
      </c>
      <c r="F13" s="5" t="str">
        <f>IFERROR(LOOKUP(E13,CAPA!$C$8:$C$57,CAPA!$F$8:$F$57),"")</f>
        <v>D-areia argilosa</v>
      </c>
      <c r="G13" s="2" t="str">
        <f t="shared" si="0"/>
        <v>D</v>
      </c>
      <c r="H13" s="2" t="str">
        <f>IFERROR(LOOKUP(F13,Compatibilidade!$C$6:$C$20,Compatibilidade!$D$6:$D$20),"")</f>
        <v>C-silte arenoso</v>
      </c>
      <c r="I13" s="2" t="str">
        <f>IFERROR(LOOKUP(F13,Compatibilidade!$C$6:$C$20,Compatibilidade!$E$6:$E$20),"")</f>
        <v>B-Solos intermediários</v>
      </c>
      <c r="J13" s="2" t="str">
        <f>IFERROR(LOOKUP(F13,Compatibilidade!$C$6:$C$20,Compatibilidade!$F$6:$F$20),"")</f>
        <v>E-areia argilosa</v>
      </c>
      <c r="K13" s="124">
        <v>7</v>
      </c>
      <c r="L13" s="48">
        <f>IF(COUNTIF($BK$8:$BK$22,CAPA!F15)&gt;0,CAPA!D15,
        IF(CAPA!F15=$BK$23, IF(CAPA!$I$21="Nula",0,CAPA!D15),
             IF(CAPA!F15=$BK$24, IF(CAPA!$I$22="Negativa",-ABS(CAPA!D15),0),CAPA!D15)))</f>
        <v>4</v>
      </c>
      <c r="M13" s="48">
        <f>CAPA!E15</f>
        <v>16</v>
      </c>
      <c r="N13" s="2">
        <f t="shared" si="1"/>
        <v>1</v>
      </c>
      <c r="O13" s="8">
        <f t="shared" si="2"/>
        <v>0.03</v>
      </c>
      <c r="P13" s="3">
        <f t="shared" si="3"/>
        <v>0.6</v>
      </c>
      <c r="Q13" s="3">
        <f t="shared" si="21"/>
        <v>1.33</v>
      </c>
      <c r="R13" s="3">
        <f t="shared" si="4"/>
        <v>2.66</v>
      </c>
      <c r="S13" s="3">
        <f t="shared" si="22"/>
        <v>27.06766917293233</v>
      </c>
      <c r="T13" s="12">
        <f t="shared" si="33"/>
        <v>3157.894736842105</v>
      </c>
      <c r="U13" s="21">
        <f t="shared" si="23"/>
        <v>7</v>
      </c>
      <c r="V13" s="21">
        <f t="shared" si="24"/>
        <v>3.3333333333333335</v>
      </c>
      <c r="W13" s="3">
        <f t="shared" si="41"/>
        <v>0.81681408993334625</v>
      </c>
      <c r="X13" s="48">
        <f t="shared" si="5"/>
        <v>110.54626781052805</v>
      </c>
      <c r="Y13" s="48">
        <f>IF(W13="#N/D",NA(),IF(CAPA!$I$13=0,$C$16*T13,IF(CAPA!$I$13="Rp = 0",0,IF(CAPA!$I$13="Rp &lt; RL",IF($C$16*T13&gt;X13,X13,$C$16*T13),$C$16*T13))))</f>
        <v>167.66183951263423</v>
      </c>
      <c r="Z13" s="48">
        <f t="shared" si="42"/>
        <v>278.20810732316227</v>
      </c>
      <c r="AA13" s="48">
        <f>IFERROR(IF(O13="",NA(),Z13/$D$26),NA())</f>
        <v>146.42531964376963</v>
      </c>
      <c r="AB13" s="108"/>
      <c r="AC13">
        <f t="shared" si="6"/>
        <v>1</v>
      </c>
      <c r="AD13" s="3">
        <f t="shared" si="7"/>
        <v>250</v>
      </c>
      <c r="AE13" s="3">
        <f t="shared" si="25"/>
        <v>1</v>
      </c>
      <c r="AF13" s="3">
        <f t="shared" si="8"/>
        <v>1</v>
      </c>
      <c r="AG13" s="3">
        <f t="shared" si="9"/>
        <v>23.333333333333329</v>
      </c>
      <c r="AH13" s="12">
        <f t="shared" si="35"/>
        <v>1666.6666666666667</v>
      </c>
      <c r="AI13" s="21">
        <f t="shared" si="26"/>
        <v>6.666666666666667</v>
      </c>
      <c r="AJ13" s="21">
        <f t="shared" si="10"/>
        <v>3.3333333333333335</v>
      </c>
      <c r="AK13" s="3">
        <f t="shared" si="11"/>
        <v>0.81681408993334625</v>
      </c>
      <c r="AL13" s="48">
        <f>IF(AK13="#N/D",NA(),IFERROR(AF13*AK13*AG13+AL12,IFERROR(AF13*AK13*AG13,NA())))</f>
        <v>103.46311805822384</v>
      </c>
      <c r="AM13" s="12">
        <f>IF(AK13="#N/D",NA(),
        IF(CAPA!$I$13=0,AE13*$C$16*AH13,
             IF(CAPA!$I$13="Rp = 0",0,
                  IF(CAPA!$I$13="Rp &lt; RL",IF(AE13*$C$16*AH13&gt;AL13,AL13,AE13*$C$16*AH13),AE13*$C$16*AH13))))</f>
        <v>88.488193076112523</v>
      </c>
      <c r="AN13" s="46">
        <f t="shared" si="12"/>
        <v>191.95131113433638</v>
      </c>
      <c r="AO13" s="46">
        <f>IFERROR((AL13/$B$24)+(AM13/$B$25),NA())</f>
        <v>95.975655567168189</v>
      </c>
      <c r="AQ13">
        <f t="shared" si="13"/>
        <v>1</v>
      </c>
      <c r="AR13" s="3">
        <f t="shared" si="14"/>
        <v>300</v>
      </c>
      <c r="AS13" s="3">
        <f t="shared" si="28"/>
        <v>4</v>
      </c>
      <c r="AT13" s="19">
        <f t="shared" si="37"/>
        <v>16</v>
      </c>
      <c r="AU13" s="12">
        <f t="shared" si="38"/>
        <v>1380.0000000000002</v>
      </c>
      <c r="AV13" s="21">
        <f t="shared" si="29"/>
        <v>4.6000000000000005</v>
      </c>
      <c r="AW13" s="21">
        <f t="shared" si="15"/>
        <v>3.3333333333333335</v>
      </c>
      <c r="AX13" s="3">
        <f t="shared" si="16"/>
        <v>0.81681408993334625</v>
      </c>
      <c r="AY13" s="48">
        <f t="shared" si="39"/>
        <v>65.345127194667697</v>
      </c>
      <c r="AZ13" s="19">
        <f>IF(K13&lt;=$C$28,NA(),IF(CAPA!$I$13=0,$C$16*AU13,IF(CAPA!$I$13="Rp = 0",0,IF(CAPA!$I$13="Rp &lt; RL",IF($C$16*AU13&gt;AY13,AY13,$C$16*AU13),$C$16*AU13))))</f>
        <v>73.268223867021177</v>
      </c>
      <c r="BA13" s="11">
        <f t="shared" si="17"/>
        <v>138.61335106168889</v>
      </c>
      <c r="BB13" s="11">
        <f t="shared" si="18"/>
        <v>69.306675530844444</v>
      </c>
      <c r="BD13" s="119">
        <f t="shared" si="19"/>
        <v>342.0050125313283</v>
      </c>
      <c r="BE13" s="48">
        <f t="shared" si="30"/>
        <v>93.118171021139858</v>
      </c>
      <c r="BF13" s="12">
        <f t="shared" si="31"/>
        <v>109.80608548525599</v>
      </c>
      <c r="BG13" s="11">
        <f t="shared" si="20"/>
        <v>202.92425650639584</v>
      </c>
      <c r="BH13" s="11">
        <f t="shared" si="40"/>
        <v>101.46212825319792</v>
      </c>
      <c r="BI13" s="21"/>
      <c r="BJ13" t="s">
        <v>25</v>
      </c>
      <c r="BK13" s="7" t="s">
        <v>40</v>
      </c>
      <c r="BL13" s="3">
        <v>0.4</v>
      </c>
      <c r="BM13" s="4">
        <v>0.03</v>
      </c>
      <c r="BN13" s="2"/>
      <c r="BO13" s="1" t="s">
        <v>57</v>
      </c>
      <c r="BP13" s="3">
        <v>2</v>
      </c>
      <c r="BQ13" s="3">
        <f t="shared" si="32"/>
        <v>4</v>
      </c>
      <c r="CH13" t="s">
        <v>57</v>
      </c>
      <c r="CI13" s="3">
        <f>CI11</f>
        <v>4</v>
      </c>
      <c r="CJ13" s="2">
        <v>6</v>
      </c>
      <c r="CS13" t="s">
        <v>9</v>
      </c>
      <c r="CT13" s="2">
        <v>3</v>
      </c>
      <c r="CU13" s="2">
        <v>40</v>
      </c>
      <c r="CV13" s="2">
        <v>30</v>
      </c>
      <c r="CW13" s="2">
        <v>38</v>
      </c>
      <c r="CX13" s="2">
        <v>30</v>
      </c>
      <c r="CY13" s="2">
        <v>15</v>
      </c>
      <c r="CZ13" s="2">
        <v>35</v>
      </c>
      <c r="DA13" s="2">
        <v>37</v>
      </c>
      <c r="DB13" s="2">
        <v>60</v>
      </c>
      <c r="DC13" s="2">
        <v>12</v>
      </c>
      <c r="DD13" s="2">
        <v>38</v>
      </c>
      <c r="DE13" s="9">
        <f t="shared" si="43"/>
        <v>38</v>
      </c>
      <c r="DH13">
        <v>-12</v>
      </c>
    </row>
    <row r="14" spans="1:112">
      <c r="E14" s="2">
        <v>8</v>
      </c>
      <c r="F14" s="5" t="str">
        <f>IFERROR(LOOKUP(E14,CAPA!$C$8:$C$57,CAPA!$F$8:$F$57),"")</f>
        <v>D-areia argilosa</v>
      </c>
      <c r="G14" s="2" t="str">
        <f t="shared" si="0"/>
        <v>D</v>
      </c>
      <c r="H14" s="2" t="str">
        <f>IFERROR(LOOKUP(F14,Compatibilidade!$C$6:$C$20,Compatibilidade!$D$6:$D$20),"")</f>
        <v>C-silte arenoso</v>
      </c>
      <c r="I14" s="2" t="str">
        <f>IFERROR(LOOKUP(F14,Compatibilidade!$C$6:$C$20,Compatibilidade!$E$6:$E$20),"")</f>
        <v>B-Solos intermediários</v>
      </c>
      <c r="J14" s="2" t="str">
        <f>IFERROR(LOOKUP(F14,Compatibilidade!$C$6:$C$20,Compatibilidade!$F$6:$F$20),"")</f>
        <v>E-areia argilosa</v>
      </c>
      <c r="K14" s="124">
        <v>8</v>
      </c>
      <c r="L14" s="48">
        <f>IF(COUNTIF($BK$8:$BK$22,CAPA!F16)&gt;0,CAPA!D16,
        IF(CAPA!F16=$BK$23, IF(CAPA!$I$21="Nula",0,CAPA!D16),
             IF(CAPA!F16=$BK$24, IF(CAPA!$I$22="Negativa",-ABS(CAPA!D16),0),CAPA!D16)))</f>
        <v>7</v>
      </c>
      <c r="M14" s="48">
        <f>CAPA!E16</f>
        <v>16</v>
      </c>
      <c r="N14" s="2">
        <f t="shared" si="1"/>
        <v>1</v>
      </c>
      <c r="O14" s="8">
        <f t="shared" si="2"/>
        <v>0.03</v>
      </c>
      <c r="P14" s="3">
        <f t="shared" si="3"/>
        <v>0.6</v>
      </c>
      <c r="Q14" s="3">
        <f t="shared" si="21"/>
        <v>1.33</v>
      </c>
      <c r="R14" s="3">
        <f t="shared" si="4"/>
        <v>2.66</v>
      </c>
      <c r="S14" s="3">
        <f>IFERROR((O14*P14*1000*L14)/R14,0)</f>
        <v>47.368421052631575</v>
      </c>
      <c r="T14" s="12">
        <f t="shared" si="33"/>
        <v>4060.1503759398493</v>
      </c>
      <c r="U14" s="21">
        <f t="shared" si="23"/>
        <v>9</v>
      </c>
      <c r="V14" s="21">
        <f t="shared" si="24"/>
        <v>3.8571428571428572</v>
      </c>
      <c r="W14" s="3">
        <f t="shared" si="41"/>
        <v>0.81681408993334625</v>
      </c>
      <c r="X14" s="48">
        <f t="shared" si="5"/>
        <v>149.23746154421286</v>
      </c>
      <c r="Y14" s="48">
        <f>IF(W14="#N/D",NA(),IF(CAPA!$I$13=0,$C$16*T14,IF(CAPA!$I$13="Rp = 0",0,IF(CAPA!$I$13="Rp &lt; RL",IF($C$16*T14&gt;X14,X14,$C$16*T14),$C$16*T14))))</f>
        <v>215.56522223052974</v>
      </c>
      <c r="Z14" s="48">
        <f t="shared" si="42"/>
        <v>364.8026837747426</v>
      </c>
      <c r="AA14" s="48">
        <f t="shared" si="34"/>
        <v>192.00141251302244</v>
      </c>
      <c r="AB14" s="108"/>
      <c r="AC14">
        <f t="shared" si="6"/>
        <v>1</v>
      </c>
      <c r="AD14" s="3">
        <f t="shared" si="7"/>
        <v>250</v>
      </c>
      <c r="AE14" s="3">
        <f t="shared" si="25"/>
        <v>1</v>
      </c>
      <c r="AF14" s="3">
        <f t="shared" si="8"/>
        <v>1</v>
      </c>
      <c r="AG14" s="3">
        <f t="shared" si="9"/>
        <v>33.333333333333336</v>
      </c>
      <c r="AH14" s="12">
        <f t="shared" si="35"/>
        <v>2083.3333333333335</v>
      </c>
      <c r="AI14" s="21">
        <f t="shared" si="26"/>
        <v>8.3333333333333339</v>
      </c>
      <c r="AJ14" s="21">
        <f t="shared" si="10"/>
        <v>3.8571428571428572</v>
      </c>
      <c r="AK14" s="3">
        <f t="shared" si="11"/>
        <v>0.81681408993334625</v>
      </c>
      <c r="AL14" s="48">
        <f t="shared" si="36"/>
        <v>130.69025438933539</v>
      </c>
      <c r="AM14" s="12">
        <f>IF(AK14="#N/D",NA(),
        IF(CAPA!$I$13=0,AE14*$C$16*AH14,
             IF(CAPA!$I$13="Rp = 0",0,
                  IF(CAPA!$I$13="Rp &lt; RL",IF(AE14*$C$16*AH14&gt;AL14,AL14,AE14*$C$16*AH14),AE14*$C$16*AH14))))</f>
        <v>110.61024134514066</v>
      </c>
      <c r="AN14" s="46">
        <f t="shared" si="12"/>
        <v>241.30049573447604</v>
      </c>
      <c r="AO14" s="46">
        <f t="shared" si="27"/>
        <v>120.65024786723802</v>
      </c>
      <c r="AQ14">
        <f t="shared" si="13"/>
        <v>1</v>
      </c>
      <c r="AR14" s="3">
        <f t="shared" si="14"/>
        <v>300</v>
      </c>
      <c r="AS14" s="3">
        <f t="shared" si="28"/>
        <v>4</v>
      </c>
      <c r="AT14" s="19">
        <f t="shared" si="37"/>
        <v>28</v>
      </c>
      <c r="AU14" s="12">
        <f t="shared" si="38"/>
        <v>2192.3076923076924</v>
      </c>
      <c r="AV14" s="21">
        <f t="shared" si="29"/>
        <v>7.3076923076923075</v>
      </c>
      <c r="AW14" s="21">
        <f t="shared" si="15"/>
        <v>3.8571428571428572</v>
      </c>
      <c r="AX14" s="3">
        <f t="shared" si="16"/>
        <v>0.81681408993334625</v>
      </c>
      <c r="AY14" s="48">
        <f t="shared" si="39"/>
        <v>88.215921712801389</v>
      </c>
      <c r="AZ14" s="19">
        <f>IF(K14&lt;=$C$28,NA(),IF(CAPA!$I$13=0,$C$16*AU14,IF(CAPA!$I$13="Rp = 0",0,IF(CAPA!$I$13="Rp &lt; RL",IF($C$16*AU14&gt;AY14,AY14,$C$16*AU14),$C$16*AU14))))</f>
        <v>116.39600781550186</v>
      </c>
      <c r="BA14" s="11">
        <f t="shared" si="17"/>
        <v>204.61192952830325</v>
      </c>
      <c r="BB14" s="11">
        <f t="shared" si="18"/>
        <v>102.30596476415162</v>
      </c>
      <c r="BD14" s="119">
        <f t="shared" si="19"/>
        <v>450.70676691729318</v>
      </c>
      <c r="BE14" s="48">
        <f t="shared" si="30"/>
        <v>122.71454588211655</v>
      </c>
      <c r="BF14" s="12">
        <f t="shared" si="31"/>
        <v>147.52382379705742</v>
      </c>
      <c r="BG14" s="11">
        <f t="shared" si="20"/>
        <v>270.23836967917396</v>
      </c>
      <c r="BH14" s="11">
        <f t="shared" si="40"/>
        <v>135.11918483958698</v>
      </c>
      <c r="BI14" s="21"/>
      <c r="BJ14" t="s">
        <v>26</v>
      </c>
      <c r="BK14" s="7" t="s">
        <v>41</v>
      </c>
      <c r="BL14" s="3">
        <v>0.55000000000000004</v>
      </c>
      <c r="BM14" s="4">
        <v>2.1999999999999999E-2</v>
      </c>
      <c r="BN14" s="2"/>
      <c r="BO14" s="1" t="s">
        <v>58</v>
      </c>
      <c r="BP14" s="3">
        <v>2</v>
      </c>
      <c r="BQ14" s="3">
        <f t="shared" si="32"/>
        <v>4</v>
      </c>
      <c r="BT14" s="7" t="s">
        <v>97</v>
      </c>
      <c r="CH14" s="1" t="s">
        <v>58</v>
      </c>
      <c r="CI14" s="47">
        <v>5</v>
      </c>
      <c r="CJ14" s="2">
        <v>7</v>
      </c>
      <c r="CS14" t="s">
        <v>10</v>
      </c>
      <c r="CT14" s="2">
        <v>4</v>
      </c>
      <c r="CU14" s="2">
        <v>45</v>
      </c>
      <c r="CV14" s="2">
        <v>35</v>
      </c>
      <c r="CW14" s="2">
        <v>42</v>
      </c>
      <c r="CX14" s="2">
        <v>40</v>
      </c>
      <c r="CY14" s="2">
        <v>16</v>
      </c>
      <c r="CZ14" s="2">
        <v>40</v>
      </c>
      <c r="DA14" s="2">
        <v>42</v>
      </c>
      <c r="DB14" s="2">
        <v>70</v>
      </c>
      <c r="DC14" s="2">
        <v>15</v>
      </c>
      <c r="DD14" s="2">
        <v>42</v>
      </c>
      <c r="DE14" s="9">
        <f t="shared" si="43"/>
        <v>42</v>
      </c>
      <c r="DH14">
        <v>-13</v>
      </c>
    </row>
    <row r="15" spans="1:112">
      <c r="B15" s="20" t="s">
        <v>129</v>
      </c>
      <c r="C15" s="10">
        <f>SUMIF(C10:C11,"&lt;&gt;""",C10:C11)</f>
        <v>0.81681408993334625</v>
      </c>
      <c r="E15" s="2">
        <v>9</v>
      </c>
      <c r="F15" s="5" t="str">
        <f>IFERROR(LOOKUP(E15,CAPA!$C$8:$C$57,CAPA!$F$8:$F$57),"")</f>
        <v>D-areia argilosa</v>
      </c>
      <c r="G15" s="2" t="str">
        <f t="shared" si="0"/>
        <v>D</v>
      </c>
      <c r="H15" s="2" t="str">
        <f>IFERROR(LOOKUP(F15,Compatibilidade!$C$6:$C$20,Compatibilidade!$D$6:$D$20),"")</f>
        <v>C-silte arenoso</v>
      </c>
      <c r="I15" s="2" t="str">
        <f>IFERROR(LOOKUP(F15,Compatibilidade!$C$6:$C$20,Compatibilidade!$E$6:$E$20),"")</f>
        <v>B-Solos intermediários</v>
      </c>
      <c r="J15" s="2" t="str">
        <f>IFERROR(LOOKUP(F15,Compatibilidade!$C$6:$C$20,Compatibilidade!$F$6:$F$20),"")</f>
        <v>E-areia argilosa</v>
      </c>
      <c r="K15" s="124">
        <v>9</v>
      </c>
      <c r="L15" s="48">
        <f>IF(COUNTIF($BK$8:$BK$22,CAPA!F17)&gt;0,CAPA!D17,
        IF(CAPA!F17=$BK$23, IF(CAPA!$I$21="Nula",0,CAPA!D17),
             IF(CAPA!F17=$BK$24, IF(CAPA!$I$22="Negativa",-ABS(CAPA!D17),0),CAPA!D17)))</f>
        <v>9</v>
      </c>
      <c r="M15" s="48">
        <f>CAPA!E17</f>
        <v>16</v>
      </c>
      <c r="N15" s="2">
        <f t="shared" si="1"/>
        <v>1</v>
      </c>
      <c r="O15" s="8">
        <f t="shared" si="2"/>
        <v>0.03</v>
      </c>
      <c r="P15" s="3">
        <f t="shared" si="3"/>
        <v>0.6</v>
      </c>
      <c r="Q15" s="3">
        <f t="shared" si="21"/>
        <v>1.33</v>
      </c>
      <c r="R15" s="3">
        <f t="shared" si="4"/>
        <v>2.66</v>
      </c>
      <c r="S15" s="3">
        <f t="shared" si="22"/>
        <v>60.902255639097739</v>
      </c>
      <c r="T15" s="12">
        <f t="shared" si="33"/>
        <v>4060.1503759398493</v>
      </c>
      <c r="U15" s="21">
        <f t="shared" si="23"/>
        <v>9</v>
      </c>
      <c r="V15" s="21">
        <f t="shared" si="24"/>
        <v>4.5</v>
      </c>
      <c r="W15" s="3">
        <f t="shared" si="41"/>
        <v>0.81681408993334625</v>
      </c>
      <c r="X15" s="48">
        <f t="shared" si="5"/>
        <v>198.98328205895049</v>
      </c>
      <c r="Y15" s="48">
        <f>IF(W15="#N/D",NA(),IF(CAPA!$I$13=0,$C$16*T15,IF(CAPA!$I$13="Rp = 0",0,IF(CAPA!$I$13="Rp &lt; RL",IF($C$16*T15&gt;X15,X15,$C$16*T15),$C$16*T15))))</f>
        <v>215.56522223052974</v>
      </c>
      <c r="Z15" s="48">
        <f t="shared" si="42"/>
        <v>414.54850428948021</v>
      </c>
      <c r="AA15" s="48">
        <f t="shared" si="34"/>
        <v>218.18342331025275</v>
      </c>
      <c r="AB15" s="108"/>
      <c r="AC15">
        <f t="shared" si="6"/>
        <v>1</v>
      </c>
      <c r="AD15" s="3">
        <f t="shared" si="7"/>
        <v>250</v>
      </c>
      <c r="AE15" s="3">
        <f t="shared" si="25"/>
        <v>1</v>
      </c>
      <c r="AF15" s="3">
        <f t="shared" si="8"/>
        <v>1</v>
      </c>
      <c r="AG15" s="3">
        <f t="shared" si="9"/>
        <v>40</v>
      </c>
      <c r="AH15" s="12">
        <f t="shared" si="35"/>
        <v>2083.3333333333335</v>
      </c>
      <c r="AI15" s="21">
        <f t="shared" si="26"/>
        <v>8.3333333333333339</v>
      </c>
      <c r="AJ15" s="21">
        <f t="shared" si="10"/>
        <v>4.5</v>
      </c>
      <c r="AK15" s="3">
        <f t="shared" si="11"/>
        <v>0.81681408993334625</v>
      </c>
      <c r="AL15" s="48">
        <f t="shared" si="36"/>
        <v>163.36281798666926</v>
      </c>
      <c r="AM15" s="12">
        <f>IF(AK15="#N/D",NA(),
        IF(CAPA!$I$13=0,AE15*$C$16*AH15,
             IF(CAPA!$I$13="Rp = 0",0,
                  IF(CAPA!$I$13="Rp &lt; RL",IF(AE15*$C$16*AH15&gt;AL15,AL15,AE15*$C$16*AH15),AE15*$C$16*AH15))))</f>
        <v>110.61024134514066</v>
      </c>
      <c r="AN15" s="46">
        <f t="shared" si="12"/>
        <v>273.97305933180991</v>
      </c>
      <c r="AO15" s="46">
        <f t="shared" si="27"/>
        <v>136.98652966590495</v>
      </c>
      <c r="AQ15">
        <f t="shared" si="13"/>
        <v>1</v>
      </c>
      <c r="AR15" s="3">
        <f t="shared" si="14"/>
        <v>300</v>
      </c>
      <c r="AS15" s="3">
        <f t="shared" si="28"/>
        <v>4</v>
      </c>
      <c r="AT15" s="19">
        <f t="shared" si="37"/>
        <v>36</v>
      </c>
      <c r="AU15" s="12">
        <f t="shared" si="38"/>
        <v>2681.5384615384614</v>
      </c>
      <c r="AV15" s="21">
        <f t="shared" si="29"/>
        <v>8.9384615384615387</v>
      </c>
      <c r="AW15" s="21">
        <f t="shared" si="15"/>
        <v>4.5</v>
      </c>
      <c r="AX15" s="3">
        <f t="shared" si="16"/>
        <v>0.81681408993334625</v>
      </c>
      <c r="AY15" s="48">
        <f t="shared" si="39"/>
        <v>117.62122895040186</v>
      </c>
      <c r="AZ15" s="19">
        <f>IF(K15&lt;=$C$28,NA(),IF(CAPA!$I$13=0,$C$16*AU15,IF(CAPA!$I$13="Rp = 0",0,IF(CAPA!$I$13="Rp &lt; RL",IF($C$16*AU15&gt;AY15,AY15,$C$16*AU15),$C$16*AU15))))</f>
        <v>142.37069587538227</v>
      </c>
      <c r="BA15" s="11">
        <f t="shared" si="17"/>
        <v>259.99192482578411</v>
      </c>
      <c r="BB15" s="11">
        <f t="shared" si="18"/>
        <v>129.99596241289206</v>
      </c>
      <c r="BD15" s="119">
        <f t="shared" si="19"/>
        <v>587.60902255639098</v>
      </c>
      <c r="BE15" s="48">
        <f t="shared" si="30"/>
        <v>159.98910966534052</v>
      </c>
      <c r="BF15" s="12">
        <f t="shared" si="31"/>
        <v>156.1820531503509</v>
      </c>
      <c r="BG15" s="11">
        <f t="shared" si="20"/>
        <v>316.17116281569139</v>
      </c>
      <c r="BH15" s="11">
        <f t="shared" si="40"/>
        <v>158.08558140784569</v>
      </c>
      <c r="BI15" s="21"/>
      <c r="BJ15" t="s">
        <v>27</v>
      </c>
      <c r="BK15" s="7" t="s">
        <v>42</v>
      </c>
      <c r="BL15" s="3">
        <v>0.45</v>
      </c>
      <c r="BM15" s="4">
        <v>2.8000000000000001E-2</v>
      </c>
      <c r="BN15" s="2"/>
      <c r="BO15" s="1" t="s">
        <v>127</v>
      </c>
      <c r="BP15" s="3">
        <v>3</v>
      </c>
      <c r="BQ15" s="3">
        <f>BP15*2</f>
        <v>6</v>
      </c>
      <c r="BT15" s="7" t="s">
        <v>4</v>
      </c>
      <c r="CH15" t="s">
        <v>127</v>
      </c>
      <c r="CI15" s="47">
        <v>4</v>
      </c>
      <c r="CJ15" s="2">
        <v>8</v>
      </c>
      <c r="CS15" t="s">
        <v>11</v>
      </c>
      <c r="CT15" s="2">
        <v>5</v>
      </c>
      <c r="CU15" s="2">
        <v>52</v>
      </c>
      <c r="CV15" s="2">
        <v>40</v>
      </c>
      <c r="CW15" s="2">
        <v>50</v>
      </c>
      <c r="CX15" s="2">
        <v>50</v>
      </c>
      <c r="CY15" s="2">
        <v>20</v>
      </c>
      <c r="CZ15" s="2">
        <v>50</v>
      </c>
      <c r="DA15" s="2">
        <v>47</v>
      </c>
      <c r="DB15" s="2">
        <v>80</v>
      </c>
      <c r="DC15" s="2">
        <v>18</v>
      </c>
      <c r="DD15" s="2">
        <v>45</v>
      </c>
      <c r="DE15" s="9">
        <f t="shared" si="43"/>
        <v>50</v>
      </c>
      <c r="DH15">
        <v>-14</v>
      </c>
    </row>
    <row r="16" spans="1:112">
      <c r="B16" s="20" t="s">
        <v>130</v>
      </c>
      <c r="C16" s="10">
        <f>SUMIF(C12:C13,"&lt;&gt;""",C12:C13)</f>
        <v>5.3092915845667513E-2</v>
      </c>
      <c r="E16" s="2">
        <v>10</v>
      </c>
      <c r="F16" s="5" t="str">
        <f>IFERROR(LOOKUP(E16,CAPA!$C$8:$C$57,CAPA!$F$8:$F$57),"")</f>
        <v>D-areia argilosa</v>
      </c>
      <c r="G16" s="2" t="str">
        <f t="shared" si="0"/>
        <v>D</v>
      </c>
      <c r="H16" s="2" t="str">
        <f>IFERROR(LOOKUP(F16,Compatibilidade!$C$6:$C$20,Compatibilidade!$D$6:$D$20),"")</f>
        <v>C-silte arenoso</v>
      </c>
      <c r="I16" s="2" t="str">
        <f>IFERROR(LOOKUP(F16,Compatibilidade!$C$6:$C$20,Compatibilidade!$E$6:$E$20),"")</f>
        <v>B-Solos intermediários</v>
      </c>
      <c r="J16" s="2" t="str">
        <f>IFERROR(LOOKUP(F16,Compatibilidade!$C$6:$C$20,Compatibilidade!$F$6:$F$20),"")</f>
        <v>E-areia argilosa</v>
      </c>
      <c r="K16" s="124">
        <v>10</v>
      </c>
      <c r="L16" s="48">
        <f>IF(COUNTIF($BK$8:$BK$22,CAPA!F18)&gt;0,CAPA!D18,
        IF(CAPA!F18=$BK$23, IF(CAPA!$I$21="Nula",0,CAPA!D18),
             IF(CAPA!F18=$BK$24, IF(CAPA!$I$22="Negativa",-ABS(CAPA!D18),0),CAPA!D18)))</f>
        <v>9</v>
      </c>
      <c r="M16" s="48">
        <f>CAPA!E18</f>
        <v>16</v>
      </c>
      <c r="N16" s="2">
        <f t="shared" si="1"/>
        <v>1</v>
      </c>
      <c r="O16" s="8">
        <f t="shared" si="2"/>
        <v>0.03</v>
      </c>
      <c r="P16" s="3">
        <f t="shared" si="3"/>
        <v>0.6</v>
      </c>
      <c r="Q16" s="3">
        <f t="shared" si="21"/>
        <v>1.33</v>
      </c>
      <c r="R16" s="3">
        <f t="shared" si="4"/>
        <v>2.66</v>
      </c>
      <c r="S16" s="3">
        <f t="shared" si="22"/>
        <v>60.902255639097739</v>
      </c>
      <c r="T16" s="12">
        <f>IFERROR(P16*1000*U16*(IF(K16&lt;=$C$28,0,1))/Q16,0)</f>
        <v>3157.894736842105</v>
      </c>
      <c r="U16" s="21">
        <f t="shared" si="23"/>
        <v>7</v>
      </c>
      <c r="V16" s="21">
        <f t="shared" si="24"/>
        <v>5</v>
      </c>
      <c r="W16" s="3">
        <f t="shared" si="41"/>
        <v>0.81681408993334625</v>
      </c>
      <c r="X16" s="48">
        <f t="shared" si="5"/>
        <v>248.72910257368812</v>
      </c>
      <c r="Y16" s="48">
        <f>IF(W16="#N/D",NA(),IF(CAPA!$I$13=0,$C$16*T16,IF(CAPA!$I$13="Rp = 0",0,IF(CAPA!$I$13="Rp &lt; RL",IF($C$16*T16&gt;X16,X16,$C$16*T16),$C$16*T16))))</f>
        <v>167.66183951263423</v>
      </c>
      <c r="Z16" s="48">
        <f t="shared" si="42"/>
        <v>416.39094208632235</v>
      </c>
      <c r="AA16" s="48">
        <f t="shared" si="34"/>
        <v>219.15312741385389</v>
      </c>
      <c r="AB16" s="108"/>
      <c r="AC16">
        <f t="shared" si="6"/>
        <v>1</v>
      </c>
      <c r="AD16" s="3">
        <f t="shared" si="7"/>
        <v>250</v>
      </c>
      <c r="AE16" s="3">
        <f t="shared" si="25"/>
        <v>1</v>
      </c>
      <c r="AF16" s="3">
        <f t="shared" si="8"/>
        <v>1</v>
      </c>
      <c r="AG16" s="3">
        <f t="shared" si="9"/>
        <v>40</v>
      </c>
      <c r="AH16" s="12">
        <f t="shared" si="35"/>
        <v>1916.6666666666667</v>
      </c>
      <c r="AI16" s="21">
        <f t="shared" si="26"/>
        <v>7.666666666666667</v>
      </c>
      <c r="AJ16" s="21">
        <f t="shared" si="10"/>
        <v>5</v>
      </c>
      <c r="AK16" s="3">
        <f t="shared" si="11"/>
        <v>0.81681408993334625</v>
      </c>
      <c r="AL16" s="48">
        <f t="shared" si="36"/>
        <v>196.03538158400312</v>
      </c>
      <c r="AM16" s="12">
        <f>IF(AK16="#N/D",NA(),
        IF(CAPA!$I$13=0,AE16*$C$16*AH16,
             IF(CAPA!$I$13="Rp = 0",0,
                  IF(CAPA!$I$13="Rp &lt; RL",IF(AE16*$C$16*AH16&gt;AL16,AL16,AE16*$C$16*AH16),AE16*$C$16*AH16))))</f>
        <v>101.7614220375294</v>
      </c>
      <c r="AN16" s="46">
        <f t="shared" si="12"/>
        <v>297.79680362153249</v>
      </c>
      <c r="AO16" s="46">
        <f t="shared" si="27"/>
        <v>148.89840181076625</v>
      </c>
      <c r="AQ16">
        <f t="shared" si="13"/>
        <v>1</v>
      </c>
      <c r="AR16" s="3">
        <f t="shared" si="14"/>
        <v>300</v>
      </c>
      <c r="AS16" s="3">
        <f t="shared" si="28"/>
        <v>4</v>
      </c>
      <c r="AT16" s="19">
        <f t="shared" si="37"/>
        <v>36</v>
      </c>
      <c r="AU16" s="12">
        <f t="shared" si="38"/>
        <v>2580</v>
      </c>
      <c r="AV16" s="21">
        <f t="shared" si="29"/>
        <v>8.6</v>
      </c>
      <c r="AW16" s="21">
        <f t="shared" si="15"/>
        <v>5</v>
      </c>
      <c r="AX16" s="3">
        <f t="shared" si="16"/>
        <v>0.81681408993334625</v>
      </c>
      <c r="AY16" s="48">
        <f t="shared" si="39"/>
        <v>147.02653618800232</v>
      </c>
      <c r="AZ16" s="19">
        <f>IF(K16&lt;=$C$28,NA(),IF(CAPA!$I$13=0,$C$16*AU16,IF(CAPA!$I$13="Rp = 0",0,IF(CAPA!$I$13="Rp &lt; RL",IF($C$16*AU16&gt;AY16,AY16,$C$16*AU16),$C$16*AU16))))</f>
        <v>136.97972288182217</v>
      </c>
      <c r="BA16" s="11">
        <f t="shared" si="17"/>
        <v>284.00625906982452</v>
      </c>
      <c r="BB16" s="11">
        <f t="shared" si="18"/>
        <v>142.00312953491226</v>
      </c>
      <c r="BD16" s="119">
        <f t="shared" si="19"/>
        <v>724.51127819548879</v>
      </c>
      <c r="BE16" s="48">
        <f t="shared" si="30"/>
        <v>197.26367344856453</v>
      </c>
      <c r="BF16" s="12">
        <f t="shared" si="31"/>
        <v>135.46766147732862</v>
      </c>
      <c r="BG16" s="11">
        <f t="shared" si="20"/>
        <v>332.73133492589312</v>
      </c>
      <c r="BH16" s="11">
        <f t="shared" si="40"/>
        <v>166.36566746294656</v>
      </c>
      <c r="BI16" s="21"/>
      <c r="BJ16" t="s">
        <v>28</v>
      </c>
      <c r="BK16" s="7" t="s">
        <v>43</v>
      </c>
      <c r="BL16" s="3">
        <v>0.23</v>
      </c>
      <c r="BM16" s="4">
        <v>3.4000000000000002E-2</v>
      </c>
      <c r="BN16" s="2"/>
      <c r="BO16" s="52" t="s">
        <v>128</v>
      </c>
      <c r="BP16" s="47">
        <f>BP12</f>
        <v>2</v>
      </c>
      <c r="BQ16" s="47">
        <f>BQ12</f>
        <v>4</v>
      </c>
      <c r="BR16" s="49"/>
      <c r="CH16" t="s">
        <v>128</v>
      </c>
      <c r="CI16" s="47">
        <f>CI12</f>
        <v>6</v>
      </c>
      <c r="CJ16" s="2">
        <v>9</v>
      </c>
      <c r="CS16" t="s">
        <v>62</v>
      </c>
      <c r="CT16" s="2">
        <v>6</v>
      </c>
      <c r="CU16" s="2">
        <v>60</v>
      </c>
      <c r="CW16" s="2">
        <v>60</v>
      </c>
      <c r="CX16" s="2">
        <v>60</v>
      </c>
      <c r="CY16" s="2">
        <v>25</v>
      </c>
      <c r="CZ16" s="2">
        <v>60</v>
      </c>
      <c r="DB16" s="2">
        <v>90</v>
      </c>
      <c r="DC16" s="2">
        <v>20</v>
      </c>
      <c r="DE16" s="9">
        <f t="shared" si="43"/>
        <v>60</v>
      </c>
      <c r="DH16">
        <v>-15</v>
      </c>
    </row>
    <row r="17" spans="1:112">
      <c r="E17" s="2">
        <v>11</v>
      </c>
      <c r="F17" s="5" t="str">
        <f>IFERROR(LOOKUP(E17,CAPA!$C$8:$C$57,CAPA!$F$8:$F$57),"")</f>
        <v>D-areia argilosa</v>
      </c>
      <c r="G17" s="2" t="str">
        <f t="shared" si="0"/>
        <v>D</v>
      </c>
      <c r="H17" s="2" t="str">
        <f>IFERROR(LOOKUP(F17,Compatibilidade!$C$6:$C$20,Compatibilidade!$D$6:$D$20),"")</f>
        <v>C-silte arenoso</v>
      </c>
      <c r="I17" s="2" t="str">
        <f>IFERROR(LOOKUP(F17,Compatibilidade!$C$6:$C$20,Compatibilidade!$E$6:$E$20),"")</f>
        <v>B-Solos intermediários</v>
      </c>
      <c r="J17" s="2" t="str">
        <f>IFERROR(LOOKUP(F17,Compatibilidade!$C$6:$C$20,Compatibilidade!$F$6:$F$20),"")</f>
        <v>E-areia argilosa</v>
      </c>
      <c r="K17" s="124">
        <v>11</v>
      </c>
      <c r="L17" s="48">
        <f>IF(COUNTIF($BK$8:$BK$22,CAPA!F19)&gt;0,CAPA!D19,
        IF(CAPA!F19=$BK$23, IF(CAPA!$I$21="Nula",0,CAPA!D19),
             IF(CAPA!F19=$BK$24, IF(CAPA!$I$22="Negativa",-ABS(CAPA!D19),0),CAPA!D19)))</f>
        <v>7</v>
      </c>
      <c r="M17" s="48">
        <f>CAPA!E19</f>
        <v>19</v>
      </c>
      <c r="N17" s="2">
        <f t="shared" si="1"/>
        <v>1</v>
      </c>
      <c r="O17" s="8">
        <f t="shared" si="2"/>
        <v>0.03</v>
      </c>
      <c r="P17" s="3">
        <f t="shared" si="3"/>
        <v>0.6</v>
      </c>
      <c r="Q17" s="3">
        <f t="shared" si="21"/>
        <v>1.33</v>
      </c>
      <c r="R17" s="3">
        <f t="shared" si="4"/>
        <v>2.66</v>
      </c>
      <c r="S17" s="3">
        <f t="shared" si="22"/>
        <v>47.368421052631575</v>
      </c>
      <c r="T17" s="12">
        <f>IFERROR(P17*1000*U17*(IF(K17&lt;=$C$28,0,1))/Q17,0)</f>
        <v>3157.894736842105</v>
      </c>
      <c r="U17" s="21">
        <f t="shared" si="23"/>
        <v>7</v>
      </c>
      <c r="V17" s="21">
        <f t="shared" si="24"/>
        <v>5.2</v>
      </c>
      <c r="W17" s="3">
        <f t="shared" si="41"/>
        <v>0.81681408993334625</v>
      </c>
      <c r="X17" s="48">
        <f t="shared" si="5"/>
        <v>287.42029630737295</v>
      </c>
      <c r="Y17" s="48">
        <f>IF(W17="#N/D",NA(),IF(CAPA!$I$13=0,$C$16*T17,IF(CAPA!$I$13="Rp = 0",0,IF(CAPA!$I$13="Rp &lt; RL",IF($C$16*T17&gt;X17,X17,$C$16*T17),$C$16*T17))))</f>
        <v>167.66183951263423</v>
      </c>
      <c r="Z17" s="48">
        <f t="shared" ref="Z17:Z22" si="44">IF(O17="",NA(),IF(W17="#N/D",NA(),X17+Y17))</f>
        <v>455.08213582000718</v>
      </c>
      <c r="AA17" s="48">
        <f t="shared" si="34"/>
        <v>239.51691358947747</v>
      </c>
      <c r="AB17" s="108"/>
      <c r="AC17">
        <f t="shared" si="6"/>
        <v>1</v>
      </c>
      <c r="AD17" s="3">
        <f t="shared" si="7"/>
        <v>250</v>
      </c>
      <c r="AE17" s="3">
        <f t="shared" si="25"/>
        <v>1</v>
      </c>
      <c r="AF17" s="3">
        <f t="shared" si="8"/>
        <v>1</v>
      </c>
      <c r="AG17" s="3">
        <f t="shared" si="9"/>
        <v>33.333333333333336</v>
      </c>
      <c r="AH17" s="12">
        <f t="shared" si="35"/>
        <v>1916.6666666666667</v>
      </c>
      <c r="AI17" s="21">
        <f t="shared" si="26"/>
        <v>7.666666666666667</v>
      </c>
      <c r="AJ17" s="21">
        <f t="shared" si="10"/>
        <v>5.2</v>
      </c>
      <c r="AK17" s="3">
        <f t="shared" si="11"/>
        <v>0.81681408993334625</v>
      </c>
      <c r="AL17" s="48">
        <f t="shared" si="36"/>
        <v>223.26251791511467</v>
      </c>
      <c r="AM17" s="12">
        <f>IF(AK17="#N/D",NA(),
        IF(CAPA!$I$13=0,AE17*$C$16*AH17,
             IF(CAPA!$I$13="Rp = 0",0,
                  IF(CAPA!$I$13="Rp &lt; RL",IF(AE17*$C$16*AH17&gt;AL17,AL17,AE17*$C$16*AH17),AE17*$C$16*AH17))))</f>
        <v>101.7614220375294</v>
      </c>
      <c r="AN17" s="46">
        <f t="shared" si="12"/>
        <v>325.02393995264407</v>
      </c>
      <c r="AO17" s="46">
        <f t="shared" si="27"/>
        <v>162.51196997632204</v>
      </c>
      <c r="AQ17">
        <f t="shared" si="13"/>
        <v>1</v>
      </c>
      <c r="AR17" s="3">
        <f t="shared" si="14"/>
        <v>300</v>
      </c>
      <c r="AS17" s="3">
        <f t="shared" si="28"/>
        <v>4</v>
      </c>
      <c r="AT17" s="19">
        <f t="shared" si="37"/>
        <v>28</v>
      </c>
      <c r="AU17" s="12">
        <f t="shared" si="38"/>
        <v>2118.4615384615386</v>
      </c>
      <c r="AV17" s="21">
        <f t="shared" si="29"/>
        <v>7.0615384615384613</v>
      </c>
      <c r="AW17" s="21">
        <f t="shared" si="15"/>
        <v>5.2</v>
      </c>
      <c r="AX17" s="3">
        <f t="shared" si="16"/>
        <v>0.81681408993334625</v>
      </c>
      <c r="AY17" s="48">
        <f t="shared" si="39"/>
        <v>169.89733070613602</v>
      </c>
      <c r="AZ17" s="19">
        <f>IF(K17&lt;=$C$28,NA(),IF(CAPA!$I$13=0,$C$16*AU17,IF(CAPA!$I$13="Rp = 0",0,IF(CAPA!$I$13="Rp &lt; RL",IF($C$16*AU17&gt;AY17,AY17,$C$16*AU17),$C$16*AU17))))</f>
        <v>112.4753001838218</v>
      </c>
      <c r="BA17" s="11">
        <f t="shared" si="17"/>
        <v>282.3726308899578</v>
      </c>
      <c r="BB17" s="11">
        <f t="shared" si="18"/>
        <v>141.1863154449789</v>
      </c>
      <c r="BD17" s="119">
        <f t="shared" si="19"/>
        <v>833.21303258145372</v>
      </c>
      <c r="BE17" s="48">
        <f t="shared" si="30"/>
        <v>226.86004830954121</v>
      </c>
      <c r="BF17" s="12">
        <f t="shared" si="31"/>
        <v>127.29952057799515</v>
      </c>
      <c r="BG17" s="11">
        <f t="shared" si="20"/>
        <v>354.15956888753635</v>
      </c>
      <c r="BH17" s="11">
        <f t="shared" si="40"/>
        <v>177.07978444376818</v>
      </c>
      <c r="BI17" s="21"/>
      <c r="BJ17" t="s">
        <v>29</v>
      </c>
      <c r="BK17" s="7" t="s">
        <v>44</v>
      </c>
      <c r="BL17" s="3">
        <v>0.25</v>
      </c>
      <c r="BM17" s="4">
        <v>0.03</v>
      </c>
      <c r="BN17" s="2"/>
      <c r="BO17" s="1" t="s">
        <v>147</v>
      </c>
      <c r="BP17" s="3">
        <v>3</v>
      </c>
      <c r="BQ17" s="3">
        <f>BP17*2</f>
        <v>6</v>
      </c>
      <c r="BZ17" s="198"/>
      <c r="CH17" t="s">
        <v>147</v>
      </c>
      <c r="CI17" s="3">
        <v>4</v>
      </c>
      <c r="CJ17" s="2">
        <v>4</v>
      </c>
      <c r="CS17" t="s">
        <v>12</v>
      </c>
      <c r="CT17" s="2">
        <v>7</v>
      </c>
      <c r="CU17" s="2">
        <v>70</v>
      </c>
      <c r="CX17" s="2">
        <v>70</v>
      </c>
      <c r="CY17" s="2">
        <v>31</v>
      </c>
      <c r="CZ17" s="2">
        <v>70</v>
      </c>
      <c r="DB17" s="2">
        <v>100</v>
      </c>
      <c r="DC17" s="2">
        <v>22</v>
      </c>
      <c r="DE17" s="9">
        <f t="shared" si="43"/>
        <v>0</v>
      </c>
      <c r="DH17">
        <v>-16</v>
      </c>
    </row>
    <row r="18" spans="1:112">
      <c r="A18" s="56"/>
      <c r="B18" s="114" t="s">
        <v>214</v>
      </c>
      <c r="C18" s="116">
        <f>CAPA!I20</f>
        <v>-10</v>
      </c>
      <c r="E18" s="2">
        <v>12</v>
      </c>
      <c r="F18" s="5" t="str">
        <f>IFERROR(LOOKUP(E18,CAPA!$C$8:$C$57,CAPA!$F$8:$F$57),"")</f>
        <v>D-areia argilosa</v>
      </c>
      <c r="G18" s="2" t="str">
        <f t="shared" si="0"/>
        <v>D</v>
      </c>
      <c r="H18" s="2" t="str">
        <f>IFERROR(LOOKUP(F18,Compatibilidade!$C$6:$C$20,Compatibilidade!$D$6:$D$20),"")</f>
        <v>C-silte arenoso</v>
      </c>
      <c r="I18" s="2" t="str">
        <f>IFERROR(LOOKUP(F18,Compatibilidade!$C$6:$C$20,Compatibilidade!$E$6:$E$20),"")</f>
        <v>B-Solos intermediários</v>
      </c>
      <c r="J18" s="2" t="str">
        <f>IFERROR(LOOKUP(F18,Compatibilidade!$C$6:$C$20,Compatibilidade!$F$6:$F$20),"")</f>
        <v>E-areia argilosa</v>
      </c>
      <c r="K18" s="124">
        <v>12</v>
      </c>
      <c r="L18" s="48">
        <f>IF(COUNTIF($BK$8:$BK$22,CAPA!F20)&gt;0,CAPA!D20,
        IF(CAPA!F20=$BK$23, IF(CAPA!$I$21="Nula",0,CAPA!D20),
             IF(CAPA!F20=$BK$24, IF(CAPA!$I$22="Negativa",-ABS(CAPA!D20),0),CAPA!D20)))</f>
        <v>7</v>
      </c>
      <c r="M18" s="48">
        <f>CAPA!E20</f>
        <v>19</v>
      </c>
      <c r="N18" s="2">
        <f t="shared" si="1"/>
        <v>1</v>
      </c>
      <c r="O18" s="8">
        <f t="shared" si="2"/>
        <v>0.03</v>
      </c>
      <c r="P18" s="3">
        <f t="shared" si="3"/>
        <v>0.6</v>
      </c>
      <c r="Q18" s="3">
        <f t="shared" si="21"/>
        <v>1.33</v>
      </c>
      <c r="R18" s="3">
        <f t="shared" si="4"/>
        <v>2.66</v>
      </c>
      <c r="S18" s="3">
        <f t="shared" si="22"/>
        <v>47.368421052631575</v>
      </c>
      <c r="T18" s="12">
        <f t="shared" si="33"/>
        <v>4060.1503759398493</v>
      </c>
      <c r="U18" s="21">
        <f t="shared" si="23"/>
        <v>9</v>
      </c>
      <c r="V18" s="21">
        <f t="shared" si="24"/>
        <v>5.3636363636363633</v>
      </c>
      <c r="W18" s="3">
        <f t="shared" si="41"/>
        <v>0.81681408993334625</v>
      </c>
      <c r="X18" s="48">
        <f t="shared" ref="X18:X56" si="45">IFERROR(W18*S18+X17,W18*S18)</f>
        <v>326.11149004105778</v>
      </c>
      <c r="Y18" s="48">
        <f>IF(W18="#N/D",NA(),IF(CAPA!$I$13=0,$C$16*T18,IF(CAPA!$I$13="Rp = 0",0,IF(CAPA!$I$13="Rp &lt; RL",IF($C$16*T18&gt;X18,X18,$C$16*T18),$C$16*T18))))</f>
        <v>215.56522223052974</v>
      </c>
      <c r="Z18" s="48">
        <f t="shared" si="44"/>
        <v>541.67671227158758</v>
      </c>
      <c r="AA18" s="48">
        <f t="shared" si="34"/>
        <v>285.09300645873031</v>
      </c>
      <c r="AB18" s="108"/>
      <c r="AC18">
        <f t="shared" si="6"/>
        <v>1</v>
      </c>
      <c r="AD18" s="3">
        <f t="shared" si="7"/>
        <v>250</v>
      </c>
      <c r="AE18" s="3">
        <f t="shared" si="25"/>
        <v>1</v>
      </c>
      <c r="AF18" s="3">
        <f t="shared" si="8"/>
        <v>1</v>
      </c>
      <c r="AG18" s="3">
        <f t="shared" si="9"/>
        <v>33.333333333333336</v>
      </c>
      <c r="AH18" s="12">
        <f t="shared" si="35"/>
        <v>2500</v>
      </c>
      <c r="AI18" s="21">
        <f t="shared" si="26"/>
        <v>10</v>
      </c>
      <c r="AJ18" s="21">
        <f t="shared" si="10"/>
        <v>5.3636363636363633</v>
      </c>
      <c r="AK18" s="3">
        <f t="shared" si="11"/>
        <v>0.81681408993334625</v>
      </c>
      <c r="AL18" s="48">
        <f t="shared" si="36"/>
        <v>250.48965424622622</v>
      </c>
      <c r="AM18" s="12">
        <f>IF(AK18="#N/D",NA(),
        IF(CAPA!$I$13=0,AE18*$C$16*AH18,
             IF(CAPA!$I$13="Rp = 0",0,
                  IF(CAPA!$I$13="Rp &lt; RL",IF(AE18*$C$16*AH18&gt;AL18,AL18,AE18*$C$16*AH18),AE18*$C$16*AH18))))</f>
        <v>132.73228961416879</v>
      </c>
      <c r="AN18" s="46">
        <f t="shared" si="12"/>
        <v>383.22194386039502</v>
      </c>
      <c r="AO18" s="46">
        <f t="shared" si="27"/>
        <v>191.61097193019751</v>
      </c>
      <c r="AQ18">
        <f t="shared" si="13"/>
        <v>1</v>
      </c>
      <c r="AR18" s="3">
        <f t="shared" si="14"/>
        <v>300</v>
      </c>
      <c r="AS18" s="3">
        <f t="shared" si="28"/>
        <v>4</v>
      </c>
      <c r="AT18" s="19">
        <f t="shared" si="37"/>
        <v>28</v>
      </c>
      <c r="AU18" s="12">
        <f t="shared" si="38"/>
        <v>2220</v>
      </c>
      <c r="AV18" s="21">
        <f t="shared" si="29"/>
        <v>7.4</v>
      </c>
      <c r="AW18" s="21">
        <f t="shared" si="15"/>
        <v>5.3636363636363633</v>
      </c>
      <c r="AX18" s="3">
        <f t="shared" si="16"/>
        <v>0.81681408993334625</v>
      </c>
      <c r="AY18" s="48">
        <f t="shared" si="39"/>
        <v>192.76812522426971</v>
      </c>
      <c r="AZ18" s="19">
        <f>IF(K18&lt;=$C$28,NA(),IF(CAPA!$I$13=0,$C$16*AU18,IF(CAPA!$I$13="Rp = 0",0,IF(CAPA!$I$13="Rp &lt; RL",IF($C$16*AU18&gt;AY18,AY18,$C$16*AU18),$C$16*AU18))))</f>
        <v>117.86627317738188</v>
      </c>
      <c r="BA18" s="11">
        <f t="shared" si="17"/>
        <v>310.63439840165159</v>
      </c>
      <c r="BB18" s="11">
        <f t="shared" si="18"/>
        <v>155.3171992008258</v>
      </c>
      <c r="BD18" s="119">
        <f t="shared" si="19"/>
        <v>941.91478696741865</v>
      </c>
      <c r="BE18" s="48">
        <f t="shared" si="30"/>
        <v>256.45642317051789</v>
      </c>
      <c r="BF18" s="12">
        <f t="shared" si="31"/>
        <v>155.38792834069349</v>
      </c>
      <c r="BG18" s="11">
        <f t="shared" si="20"/>
        <v>411.84435151121141</v>
      </c>
      <c r="BH18" s="11">
        <f t="shared" si="40"/>
        <v>205.92217575560571</v>
      </c>
      <c r="BI18" s="21"/>
      <c r="BJ18" t="s">
        <v>30</v>
      </c>
      <c r="BK18" s="7" t="s">
        <v>45</v>
      </c>
      <c r="BL18" s="3">
        <v>0.2</v>
      </c>
      <c r="BM18" s="4">
        <v>0.06</v>
      </c>
      <c r="BN18" s="2"/>
      <c r="BO18" s="1"/>
      <c r="BP18" s="2"/>
      <c r="BQ18" s="2"/>
      <c r="BT18" s="2">
        <f>Compatibilidade!G24</f>
        <v>1</v>
      </c>
      <c r="BU18" s="2">
        <f>Compatibilidade!G25</f>
        <v>2</v>
      </c>
      <c r="BV18" s="2">
        <f>Compatibilidade!G26</f>
        <v>3</v>
      </c>
      <c r="BW18" s="2">
        <f>Compatibilidade!G27</f>
        <v>4</v>
      </c>
      <c r="BX18" s="2">
        <f>Compatibilidade!G28</f>
        <v>5</v>
      </c>
      <c r="BY18" s="2">
        <f>Compatibilidade!G29</f>
        <v>6</v>
      </c>
      <c r="BZ18" s="111">
        <v>7</v>
      </c>
      <c r="CA18" s="2">
        <f>Compatibilidade!G31</f>
        <v>8</v>
      </c>
      <c r="CB18" s="2">
        <f>Compatibilidade!G32</f>
        <v>9</v>
      </c>
      <c r="CC18" s="2">
        <v>10</v>
      </c>
      <c r="CD18" s="23"/>
      <c r="CE18" s="24"/>
      <c r="CT18" s="2">
        <v>8</v>
      </c>
      <c r="CX18" s="2">
        <v>80</v>
      </c>
      <c r="CY18" s="2">
        <v>41</v>
      </c>
      <c r="CZ18" s="2">
        <v>80</v>
      </c>
      <c r="DB18" s="2">
        <v>110</v>
      </c>
      <c r="DC18" s="2">
        <v>25</v>
      </c>
      <c r="DE18" s="9">
        <f t="shared" si="43"/>
        <v>0</v>
      </c>
      <c r="DH18">
        <v>-17</v>
      </c>
    </row>
    <row r="19" spans="1:112">
      <c r="B19" s="5" t="s">
        <v>215</v>
      </c>
      <c r="C19" s="115">
        <v>10</v>
      </c>
      <c r="E19" s="2">
        <v>13</v>
      </c>
      <c r="F19" s="5" t="str">
        <f>IFERROR(LOOKUP(E19,CAPA!$C$8:$C$57,CAPA!$F$8:$F$57),"")</f>
        <v>D-areia argilosa</v>
      </c>
      <c r="G19" s="2" t="str">
        <f t="shared" si="0"/>
        <v>D</v>
      </c>
      <c r="H19" s="2" t="str">
        <f>IFERROR(LOOKUP(F19,Compatibilidade!$C$6:$C$20,Compatibilidade!$D$6:$D$20),"")</f>
        <v>C-silte arenoso</v>
      </c>
      <c r="I19" s="2" t="str">
        <f>IFERROR(LOOKUP(F19,Compatibilidade!$C$6:$C$20,Compatibilidade!$E$6:$E$20),"")</f>
        <v>B-Solos intermediários</v>
      </c>
      <c r="J19" s="2" t="str">
        <f>IFERROR(LOOKUP(F19,Compatibilidade!$C$6:$C$20,Compatibilidade!$F$6:$F$20),"")</f>
        <v>E-areia argilosa</v>
      </c>
      <c r="K19" s="124">
        <v>13</v>
      </c>
      <c r="L19" s="48">
        <f>IF(COUNTIF($BK$8:$BK$22,CAPA!F21)&gt;0,CAPA!D21,
        IF(CAPA!F21=$BK$23, IF(CAPA!$I$21="Nula",0,CAPA!D21),
             IF(CAPA!F21=$BK$24, IF(CAPA!$I$22="Negativa",-ABS(CAPA!D21),0),CAPA!D21)))</f>
        <v>9</v>
      </c>
      <c r="M19" s="48">
        <f>CAPA!E21</f>
        <v>20</v>
      </c>
      <c r="N19" s="2">
        <f t="shared" si="1"/>
        <v>1</v>
      </c>
      <c r="O19" s="8">
        <f t="shared" si="2"/>
        <v>0.03</v>
      </c>
      <c r="P19" s="3">
        <f t="shared" si="3"/>
        <v>0.6</v>
      </c>
      <c r="Q19" s="3">
        <f t="shared" si="21"/>
        <v>1.33</v>
      </c>
      <c r="R19" s="3">
        <f t="shared" si="4"/>
        <v>2.66</v>
      </c>
      <c r="S19" s="3">
        <f t="shared" si="22"/>
        <v>60.902255639097739</v>
      </c>
      <c r="T19" s="12">
        <f t="shared" si="33"/>
        <v>6315.78947368421</v>
      </c>
      <c r="U19" s="21">
        <f t="shared" si="23"/>
        <v>14</v>
      </c>
      <c r="V19" s="21">
        <f t="shared" si="24"/>
        <v>5.666666666666667</v>
      </c>
      <c r="W19" s="3">
        <f t="shared" si="41"/>
        <v>0.81681408993334625</v>
      </c>
      <c r="X19" s="48">
        <f t="shared" si="45"/>
        <v>375.85731055579538</v>
      </c>
      <c r="Y19" s="48">
        <f>IF(W19="#N/D",NA(),IF(CAPA!$I$13=0,$C$16*T19,IF(CAPA!$I$13="Rp = 0",0,IF(CAPA!$I$13="Rp &lt; RL",IF($C$16*T19&gt;X19,X19,$C$16*T19),$C$16*T19))))</f>
        <v>335.32367902526846</v>
      </c>
      <c r="Z19" s="48">
        <f t="shared" si="44"/>
        <v>711.18098958106384</v>
      </c>
      <c r="AA19" s="48">
        <f t="shared" si="34"/>
        <v>374.3057839900336</v>
      </c>
      <c r="AB19" s="108"/>
      <c r="AC19">
        <f t="shared" si="6"/>
        <v>1</v>
      </c>
      <c r="AD19" s="3">
        <f t="shared" si="7"/>
        <v>250</v>
      </c>
      <c r="AE19" s="3">
        <f t="shared" si="25"/>
        <v>1</v>
      </c>
      <c r="AF19" s="3">
        <f t="shared" si="8"/>
        <v>1</v>
      </c>
      <c r="AG19" s="3">
        <f t="shared" si="9"/>
        <v>40</v>
      </c>
      <c r="AH19" s="12">
        <f t="shared" si="35"/>
        <v>3250</v>
      </c>
      <c r="AI19" s="21">
        <f t="shared" si="26"/>
        <v>13</v>
      </c>
      <c r="AJ19" s="21">
        <f t="shared" si="10"/>
        <v>5.666666666666667</v>
      </c>
      <c r="AK19" s="3">
        <f t="shared" si="11"/>
        <v>0.81681408993334625</v>
      </c>
      <c r="AL19" s="48">
        <f t="shared" si="36"/>
        <v>283.16221784356009</v>
      </c>
      <c r="AM19" s="12">
        <f>IF(AK19="#N/D",NA(),
        IF(CAPA!$I$13=0,AE19*$C$16*AH19,
             IF(CAPA!$I$13="Rp = 0",0,
                  IF(CAPA!$I$13="Rp &lt; RL",IF(AE19*$C$16*AH19&gt;AL19,AL19,AE19*$C$16*AH19),AE19*$C$16*AH19))))</f>
        <v>172.55197649841941</v>
      </c>
      <c r="AN19" s="46">
        <f t="shared" si="12"/>
        <v>455.71419434197946</v>
      </c>
      <c r="AO19" s="46">
        <f t="shared" si="27"/>
        <v>227.85709717098973</v>
      </c>
      <c r="AQ19">
        <f t="shared" si="13"/>
        <v>1</v>
      </c>
      <c r="AR19" s="3">
        <f t="shared" si="14"/>
        <v>300</v>
      </c>
      <c r="AS19" s="3">
        <f t="shared" si="28"/>
        <v>4</v>
      </c>
      <c r="AT19" s="19">
        <f t="shared" si="37"/>
        <v>36</v>
      </c>
      <c r="AU19" s="12">
        <f t="shared" si="38"/>
        <v>2981.5384615384614</v>
      </c>
      <c r="AV19" s="21">
        <f t="shared" si="29"/>
        <v>9.9384615384615387</v>
      </c>
      <c r="AW19" s="21">
        <f t="shared" si="15"/>
        <v>5.666666666666667</v>
      </c>
      <c r="AX19" s="3">
        <f t="shared" si="16"/>
        <v>0.81681408993334625</v>
      </c>
      <c r="AY19" s="48">
        <f t="shared" si="39"/>
        <v>222.17343246187016</v>
      </c>
      <c r="AZ19" s="19">
        <f>IF(K19&lt;=$C$28,NA(),IF(CAPA!$I$13=0,$C$16*AU19,IF(CAPA!$I$13="Rp = 0",0,IF(CAPA!$I$13="Rp &lt; RL",IF($C$16*AU19&gt;AY19,AY19,$C$16*AU19),$C$16*AU19))))</f>
        <v>158.29857062908252</v>
      </c>
      <c r="BA19" s="11">
        <f t="shared" si="17"/>
        <v>380.47200309095268</v>
      </c>
      <c r="BB19" s="11">
        <f t="shared" si="18"/>
        <v>190.23600154547634</v>
      </c>
      <c r="BD19" s="119">
        <f t="shared" si="19"/>
        <v>1078.8170426065162</v>
      </c>
      <c r="BE19" s="48">
        <f t="shared" si="30"/>
        <v>293.73098695374188</v>
      </c>
      <c r="BF19" s="12">
        <f t="shared" si="31"/>
        <v>222.0580753842568</v>
      </c>
      <c r="BG19" s="11">
        <f t="shared" si="20"/>
        <v>515.78906233799864</v>
      </c>
      <c r="BH19" s="11">
        <f t="shared" si="40"/>
        <v>257.89453116899932</v>
      </c>
      <c r="BI19" s="21"/>
      <c r="BJ19" t="s">
        <v>31</v>
      </c>
      <c r="BK19" s="7" t="s">
        <v>46</v>
      </c>
      <c r="BL19" s="3">
        <v>0.35</v>
      </c>
      <c r="BM19" s="4">
        <v>2.4E-2</v>
      </c>
      <c r="BN19" s="2"/>
      <c r="BO19" s="1"/>
      <c r="BP19" s="2"/>
      <c r="BQ19" s="2"/>
      <c r="BT19" s="2" t="s">
        <v>134</v>
      </c>
      <c r="BU19" s="2" t="s">
        <v>135</v>
      </c>
      <c r="BV19" s="2" t="s">
        <v>133</v>
      </c>
      <c r="BW19" s="2" t="s">
        <v>117</v>
      </c>
      <c r="BX19" s="2" t="s">
        <v>120</v>
      </c>
      <c r="BY19" s="2" t="s">
        <v>119</v>
      </c>
      <c r="BZ19" s="111" t="s">
        <v>58</v>
      </c>
      <c r="CA19" s="2" t="s">
        <v>118</v>
      </c>
      <c r="CB19" s="2" t="s">
        <v>125</v>
      </c>
      <c r="CC19" s="2">
        <v>0</v>
      </c>
      <c r="CD19" s="9" t="s">
        <v>136</v>
      </c>
      <c r="CE19" s="25"/>
      <c r="CG19" s="7" t="s">
        <v>110</v>
      </c>
      <c r="CO19" s="50"/>
      <c r="CP19" s="50"/>
      <c r="CT19" s="2">
        <v>9</v>
      </c>
      <c r="CX19" s="2">
        <v>90</v>
      </c>
      <c r="CY19" s="2">
        <v>45</v>
      </c>
      <c r="CZ19" s="2">
        <v>90</v>
      </c>
      <c r="DB19" s="2">
        <v>120</v>
      </c>
      <c r="DC19" s="2">
        <v>28</v>
      </c>
      <c r="DE19" s="9">
        <f t="shared" si="43"/>
        <v>0</v>
      </c>
      <c r="DH19">
        <v>-18</v>
      </c>
    </row>
    <row r="20" spans="1:112">
      <c r="E20" s="2">
        <v>14</v>
      </c>
      <c r="F20" s="5" t="str">
        <f>IFERROR(LOOKUP(E20,CAPA!$C$8:$C$57,CAPA!$F$8:$F$57),"")</f>
        <v>D-areia argilosa</v>
      </c>
      <c r="G20" s="2" t="str">
        <f t="shared" si="0"/>
        <v>D</v>
      </c>
      <c r="H20" s="2" t="str">
        <f>IFERROR(LOOKUP(F20,Compatibilidade!$C$6:$C$20,Compatibilidade!$D$6:$D$20),"")</f>
        <v>C-silte arenoso</v>
      </c>
      <c r="I20" s="2" t="str">
        <f>IFERROR(LOOKUP(F20,Compatibilidade!$C$6:$C$20,Compatibilidade!$E$6:$E$20),"")</f>
        <v>B-Solos intermediários</v>
      </c>
      <c r="J20" s="2" t="str">
        <f>IFERROR(LOOKUP(F20,Compatibilidade!$C$6:$C$20,Compatibilidade!$F$6:$F$20),"")</f>
        <v>E-areia argilosa</v>
      </c>
      <c r="K20" s="124">
        <v>14</v>
      </c>
      <c r="L20" s="48">
        <f>IF(COUNTIF($BK$8:$BK$22,CAPA!F22)&gt;0,CAPA!D22,
        IF(CAPA!F22=$BK$23, IF(CAPA!$I$21="Nula",0,CAPA!D22),
             IF(CAPA!F22=$BK$24, IF(CAPA!$I$22="Negativa",-ABS(CAPA!D22),0),CAPA!D22)))</f>
        <v>14</v>
      </c>
      <c r="M20" s="48">
        <f>CAPA!E22</f>
        <v>20</v>
      </c>
      <c r="N20" s="2" t="str">
        <f t="shared" si="1"/>
        <v/>
      </c>
      <c r="O20" s="8">
        <f t="shared" si="2"/>
        <v>0.03</v>
      </c>
      <c r="P20" s="3">
        <f t="shared" si="3"/>
        <v>0.6</v>
      </c>
      <c r="Q20" s="3">
        <f t="shared" si="21"/>
        <v>1.33</v>
      </c>
      <c r="R20" s="3">
        <f t="shared" si="4"/>
        <v>2.66</v>
      </c>
      <c r="S20" s="3">
        <f t="shared" si="22"/>
        <v>94.73684210526315</v>
      </c>
      <c r="T20" s="12">
        <f t="shared" si="33"/>
        <v>7218.0451127819542</v>
      </c>
      <c r="U20" s="21">
        <f t="shared" si="23"/>
        <v>16</v>
      </c>
      <c r="V20" s="21">
        <f t="shared" si="24"/>
        <v>6.3076923076923075</v>
      </c>
      <c r="W20" s="3">
        <f t="shared" si="41"/>
        <v>0.81681408993334625</v>
      </c>
      <c r="X20" s="48">
        <f t="shared" si="45"/>
        <v>453.23969802316503</v>
      </c>
      <c r="Y20" s="48">
        <f>IF(W20="#N/D",NA(),IF(CAPA!$I$13=0,$C$16*T20,IF(CAPA!$I$13="Rp = 0",0,IF(CAPA!$I$13="Rp &lt; RL",IF($C$16*T20&gt;X20,X20,$C$16*T20),$C$16*T20))))</f>
        <v>383.22706174316397</v>
      </c>
      <c r="Z20" s="48">
        <f t="shared" si="44"/>
        <v>836.46675976632901</v>
      </c>
      <c r="AA20" s="48">
        <f t="shared" si="34"/>
        <v>440.24566303491002</v>
      </c>
      <c r="AB20" s="56"/>
      <c r="AC20" t="str">
        <f t="shared" si="6"/>
        <v/>
      </c>
      <c r="AD20" s="3">
        <f t="shared" si="7"/>
        <v>250</v>
      </c>
      <c r="AE20" s="3">
        <f t="shared" si="25"/>
        <v>1</v>
      </c>
      <c r="AF20" s="3">
        <f t="shared" si="8"/>
        <v>1</v>
      </c>
      <c r="AG20" s="3">
        <f t="shared" ref="AG20:AG25" si="46">IF(OR(K20&lt;=C$28,AF20=""),0,IFERROR(10*((L20/3)+1),NA()))</f>
        <v>56.666666666666671</v>
      </c>
      <c r="AH20" s="12">
        <f t="shared" si="35"/>
        <v>3750</v>
      </c>
      <c r="AI20" s="21">
        <f t="shared" si="26"/>
        <v>15</v>
      </c>
      <c r="AJ20" s="21">
        <f t="shared" si="10"/>
        <v>6.3076923076923075</v>
      </c>
      <c r="AK20" s="3">
        <f t="shared" si="11"/>
        <v>0.81681408993334625</v>
      </c>
      <c r="AL20" s="48">
        <f t="shared" si="36"/>
        <v>329.44834960644971</v>
      </c>
      <c r="AM20" s="12">
        <f>IF(AK20="#N/D",NA(),
        IF(CAPA!$I$13=0,AE20*$C$16*AH20,
             IF(CAPA!$I$13="Rp = 0",0,
                  IF(CAPA!$I$13="Rp &lt; RL",IF(AE20*$C$16*AH20&gt;AL20,AL20,AE20*$C$16*AH20),AE20*$C$16*AH20))))</f>
        <v>199.09843442125316</v>
      </c>
      <c r="AN20" s="46">
        <f t="shared" si="12"/>
        <v>528.54678402770287</v>
      </c>
      <c r="AO20" s="46">
        <f t="shared" si="27"/>
        <v>264.27339201385143</v>
      </c>
      <c r="AQ20" t="str">
        <f t="shared" si="13"/>
        <v/>
      </c>
      <c r="AR20" s="3">
        <f t="shared" si="14"/>
        <v>300</v>
      </c>
      <c r="AS20" s="3">
        <f t="shared" si="28"/>
        <v>4</v>
      </c>
      <c r="AT20" s="19">
        <f t="shared" si="37"/>
        <v>56</v>
      </c>
      <c r="AU20" s="12">
        <f t="shared" si="38"/>
        <v>4273.8461538461534</v>
      </c>
      <c r="AV20" s="21">
        <f t="shared" si="29"/>
        <v>14.246153846153845</v>
      </c>
      <c r="AW20" s="21">
        <f t="shared" si="15"/>
        <v>6.3076923076923075</v>
      </c>
      <c r="AX20" s="3">
        <f t="shared" si="16"/>
        <v>0.81681408993334625</v>
      </c>
      <c r="AY20" s="48">
        <f t="shared" si="39"/>
        <v>267.91502149813755</v>
      </c>
      <c r="AZ20" s="19">
        <f>IF(K20&lt;=$C$28,NA(),IF(CAPA!$I$13=0,$C$16*AU20,IF(CAPA!$I$13="Rp = 0",0,IF(CAPA!$I$13="Rp &lt; RL",IF($C$16*AU20&gt;AY20,AY20,$C$16*AU20),$C$16*AU20))))</f>
        <v>226.9109541834836</v>
      </c>
      <c r="BA20" s="11">
        <f t="shared" si="17"/>
        <v>494.82597568162112</v>
      </c>
      <c r="BB20" s="11">
        <f t="shared" si="18"/>
        <v>247.41298784081056</v>
      </c>
      <c r="BD20" s="119">
        <f t="shared" si="19"/>
        <v>1286.2205513784463</v>
      </c>
      <c r="BE20" s="48">
        <f t="shared" si="30"/>
        <v>350.20102304258415</v>
      </c>
      <c r="BF20" s="12">
        <f t="shared" si="31"/>
        <v>269.74548344930025</v>
      </c>
      <c r="BG20" s="11">
        <f t="shared" si="20"/>
        <v>619.94650649188441</v>
      </c>
      <c r="BH20" s="11">
        <f t="shared" si="40"/>
        <v>309.9732532459422</v>
      </c>
      <c r="BI20" s="21"/>
      <c r="BJ20" t="s">
        <v>16</v>
      </c>
      <c r="BK20" s="7" t="s">
        <v>47</v>
      </c>
      <c r="BL20" s="3">
        <v>0.3</v>
      </c>
      <c r="BM20" s="4">
        <v>2.8000000000000001E-2</v>
      </c>
      <c r="BN20" s="2"/>
      <c r="BO20" s="1"/>
      <c r="BP20" s="2"/>
      <c r="BQ20" s="2"/>
      <c r="BT20" s="2" t="s">
        <v>52</v>
      </c>
      <c r="BU20" s="2" t="s">
        <v>53</v>
      </c>
      <c r="BV20" s="2" t="s">
        <v>54</v>
      </c>
      <c r="BW20" s="2" t="s">
        <v>55</v>
      </c>
      <c r="BX20" s="2" t="s">
        <v>56</v>
      </c>
      <c r="BY20" s="2" t="s">
        <v>57</v>
      </c>
      <c r="BZ20" s="111" t="s">
        <v>58</v>
      </c>
      <c r="CA20" s="2" t="s">
        <v>127</v>
      </c>
      <c r="CB20" s="2" t="s">
        <v>128</v>
      </c>
      <c r="CC20" s="2" t="s">
        <v>147</v>
      </c>
      <c r="CD20" s="23"/>
      <c r="CE20" s="24"/>
      <c r="CG20" s="7" t="s">
        <v>4</v>
      </c>
      <c r="CM20" s="51" t="s">
        <v>143</v>
      </c>
      <c r="CN20" s="51" t="s">
        <v>143</v>
      </c>
      <c r="CO20" s="51" t="s">
        <v>143</v>
      </c>
      <c r="CP20" s="51" t="s">
        <v>143</v>
      </c>
      <c r="CT20" s="2">
        <v>10</v>
      </c>
      <c r="CX20" s="2">
        <v>100</v>
      </c>
      <c r="CY20" s="2">
        <v>50</v>
      </c>
      <c r="CZ20" s="2">
        <v>100</v>
      </c>
      <c r="DB20" s="2">
        <v>130</v>
      </c>
      <c r="DC20" s="2">
        <v>30</v>
      </c>
      <c r="DE20" s="9">
        <f t="shared" si="43"/>
        <v>0</v>
      </c>
      <c r="DH20">
        <v>-19</v>
      </c>
    </row>
    <row r="21" spans="1:112">
      <c r="E21" s="2">
        <v>15</v>
      </c>
      <c r="F21" s="5" t="str">
        <f>IFERROR(LOOKUP(E21,CAPA!$C$8:$C$57,CAPA!$F$8:$F$57),"")</f>
        <v>D-areia argilosa</v>
      </c>
      <c r="G21" s="2" t="str">
        <f t="shared" si="0"/>
        <v>D</v>
      </c>
      <c r="H21" s="2" t="str">
        <f>IFERROR(LOOKUP(F21,Compatibilidade!$C$6:$C$20,Compatibilidade!$D$6:$D$20),"")</f>
        <v>C-silte arenoso</v>
      </c>
      <c r="I21" s="2" t="str">
        <f>IFERROR(LOOKUP(F21,Compatibilidade!$C$6:$C$20,Compatibilidade!$E$6:$E$20),"")</f>
        <v>B-Solos intermediários</v>
      </c>
      <c r="J21" s="2" t="str">
        <f>IFERROR(LOOKUP(F21,Compatibilidade!$C$6:$C$20,Compatibilidade!$F$6:$F$20),"")</f>
        <v>E-areia argilosa</v>
      </c>
      <c r="K21" s="124">
        <v>15</v>
      </c>
      <c r="L21" s="48">
        <f>IF(COUNTIF($BK$8:$BK$22,CAPA!F23)&gt;0,CAPA!D23,
        IF(CAPA!F23=$BK$23, IF(CAPA!$I$21="Nula",0,CAPA!D23),
             IF(CAPA!F23=$BK$24, IF(CAPA!$I$22="Negativa",-ABS(CAPA!D23),0),CAPA!D23)))</f>
        <v>16</v>
      </c>
      <c r="M21" s="48">
        <f>CAPA!E23</f>
        <v>20</v>
      </c>
      <c r="N21" s="2" t="str">
        <f t="shared" si="1"/>
        <v/>
      </c>
      <c r="O21" s="8">
        <f t="shared" si="2"/>
        <v>0.03</v>
      </c>
      <c r="P21" s="3">
        <f t="shared" si="3"/>
        <v>0.6</v>
      </c>
      <c r="Q21" s="3">
        <f t="shared" si="21"/>
        <v>1.33</v>
      </c>
      <c r="R21" s="3">
        <f t="shared" si="4"/>
        <v>2.66</v>
      </c>
      <c r="S21" s="3">
        <f t="shared" si="22"/>
        <v>108.27067669172932</v>
      </c>
      <c r="T21" s="12">
        <f t="shared" si="33"/>
        <v>6766.9172932330821</v>
      </c>
      <c r="U21" s="21">
        <f t="shared" si="23"/>
        <v>15</v>
      </c>
      <c r="V21" s="21">
        <f t="shared" si="24"/>
        <v>7</v>
      </c>
      <c r="W21" s="3">
        <f t="shared" si="41"/>
        <v>0.81681408993334625</v>
      </c>
      <c r="X21" s="48">
        <f t="shared" si="45"/>
        <v>541.67671227158746</v>
      </c>
      <c r="Y21" s="48">
        <f>IF(W21="#N/D",NA(),IF(CAPA!$I$13=0,$C$16*T21,IF(CAPA!$I$13="Rp = 0",0,IF(CAPA!$I$13="Rp &lt; RL",IF($C$16*T21&gt;X21,X21,$C$16*T21),$C$16*T21))))</f>
        <v>359.27537038421622</v>
      </c>
      <c r="Z21" s="48">
        <f t="shared" si="44"/>
        <v>900.95208265580368</v>
      </c>
      <c r="AA21" s="48">
        <f t="shared" si="34"/>
        <v>474.18530666094932</v>
      </c>
      <c r="AC21" t="str">
        <f t="shared" si="6"/>
        <v/>
      </c>
      <c r="AD21" s="3">
        <f t="shared" si="7"/>
        <v>250</v>
      </c>
      <c r="AE21" s="3">
        <f t="shared" si="25"/>
        <v>1</v>
      </c>
      <c r="AF21" s="3">
        <f t="shared" si="8"/>
        <v>1</v>
      </c>
      <c r="AG21" s="3">
        <f t="shared" si="46"/>
        <v>63.333333333333329</v>
      </c>
      <c r="AH21" s="12">
        <f t="shared" si="35"/>
        <v>3666.6666666666665</v>
      </c>
      <c r="AI21" s="21">
        <f t="shared" si="26"/>
        <v>14.666666666666666</v>
      </c>
      <c r="AJ21" s="21">
        <f t="shared" si="10"/>
        <v>7</v>
      </c>
      <c r="AK21" s="3">
        <f t="shared" si="11"/>
        <v>0.81681408993334625</v>
      </c>
      <c r="AL21" s="48">
        <f t="shared" si="36"/>
        <v>381.17990863556162</v>
      </c>
      <c r="AM21" s="12">
        <f>IF(AK21="#N/D",NA(),
        IF(CAPA!$I$13=0,AE21*$C$16*AH21,
             IF(CAPA!$I$13="Rp = 0",0,
                  IF(CAPA!$I$13="Rp &lt; RL",IF(AE21*$C$16*AH21&gt;AL21,AL21,AE21*$C$16*AH21),AE21*$C$16*AH21))))</f>
        <v>194.67402476744755</v>
      </c>
      <c r="AN21" s="46">
        <f t="shared" si="12"/>
        <v>575.85393340300914</v>
      </c>
      <c r="AO21" s="46">
        <f t="shared" si="27"/>
        <v>287.92696670150457</v>
      </c>
      <c r="AQ21" t="str">
        <f t="shared" si="13"/>
        <v/>
      </c>
      <c r="AR21" s="3">
        <f t="shared" si="14"/>
        <v>300</v>
      </c>
      <c r="AS21" s="3">
        <f t="shared" si="28"/>
        <v>4</v>
      </c>
      <c r="AT21" s="19">
        <f t="shared" si="37"/>
        <v>64</v>
      </c>
      <c r="AU21" s="12">
        <f t="shared" si="38"/>
        <v>4721.5384615384619</v>
      </c>
      <c r="AV21" s="21">
        <f t="shared" si="29"/>
        <v>15.738461538461539</v>
      </c>
      <c r="AW21" s="21">
        <f t="shared" si="15"/>
        <v>7</v>
      </c>
      <c r="AX21" s="3">
        <f t="shared" si="16"/>
        <v>0.81681408993334625</v>
      </c>
      <c r="AY21" s="48">
        <f t="shared" si="39"/>
        <v>320.19112325387169</v>
      </c>
      <c r="AZ21" s="19">
        <f>IF(K21&lt;=$C$28,NA(),IF(CAPA!$I$13=0,$C$16*AU21,IF(CAPA!$I$13="Rp = 0",0,IF(CAPA!$I$13="Rp &lt; RL",IF($C$16*AU21&gt;AY21,AY21,$C$16*AU21),$C$16*AU21))))</f>
        <v>250.68024420054402</v>
      </c>
      <c r="BA21" s="11">
        <f t="shared" si="17"/>
        <v>570.87136745441569</v>
      </c>
      <c r="BB21" s="11">
        <f t="shared" si="18"/>
        <v>285.43568372720785</v>
      </c>
      <c r="BD21" s="119">
        <f t="shared" si="19"/>
        <v>1521.8245614035086</v>
      </c>
      <c r="BE21" s="48">
        <f t="shared" si="30"/>
        <v>414.34924805367359</v>
      </c>
      <c r="BF21" s="12">
        <f t="shared" si="31"/>
        <v>268.20987978406924</v>
      </c>
      <c r="BG21" s="11">
        <f t="shared" si="20"/>
        <v>682.55912783774284</v>
      </c>
      <c r="BH21" s="11">
        <f t="shared" si="40"/>
        <v>341.27956391887142</v>
      </c>
      <c r="BI21" s="21"/>
      <c r="BJ21" t="s">
        <v>32</v>
      </c>
      <c r="BK21" s="7" t="s">
        <v>48</v>
      </c>
      <c r="BL21" s="3">
        <v>0.22</v>
      </c>
      <c r="BM21" s="4">
        <v>0.04</v>
      </c>
      <c r="BN21" s="2"/>
      <c r="BO21" s="1"/>
      <c r="BP21" s="2"/>
      <c r="BQ21" s="2"/>
      <c r="BS21" t="s">
        <v>99</v>
      </c>
      <c r="BT21" s="2">
        <v>1</v>
      </c>
      <c r="BU21" s="2">
        <v>1</v>
      </c>
      <c r="BV21" s="2">
        <v>1</v>
      </c>
      <c r="BW21" s="2">
        <v>0.85</v>
      </c>
      <c r="BX21" s="2">
        <v>0.85</v>
      </c>
      <c r="BY21" s="2">
        <v>0.3</v>
      </c>
      <c r="BZ21" s="111">
        <v>0.4</v>
      </c>
      <c r="CA21" s="2">
        <v>0.85</v>
      </c>
      <c r="CB21" s="2">
        <v>1</v>
      </c>
      <c r="CC21" s="2">
        <v>0.85</v>
      </c>
      <c r="CD21" s="23">
        <f>LOOKUP($C$5,$BT$20:$CC$20,$BT$21:$CC$21)</f>
        <v>1</v>
      </c>
      <c r="CE21" s="24"/>
      <c r="CG21" s="2">
        <v>1</v>
      </c>
      <c r="CH21" s="2">
        <v>2</v>
      </c>
      <c r="CI21" s="2">
        <v>3</v>
      </c>
      <c r="CJ21" s="2">
        <v>4</v>
      </c>
      <c r="CK21" s="2">
        <v>5</v>
      </c>
      <c r="CL21" s="2">
        <v>6</v>
      </c>
      <c r="CM21" s="2">
        <v>7</v>
      </c>
      <c r="CN21" s="2">
        <v>8</v>
      </c>
      <c r="CO21" s="2">
        <v>9</v>
      </c>
      <c r="CP21" s="2">
        <v>10</v>
      </c>
      <c r="CQ21" s="9">
        <f>D5</f>
        <v>3</v>
      </c>
      <c r="CT21" s="2">
        <v>11</v>
      </c>
      <c r="CX21" s="2">
        <v>110</v>
      </c>
      <c r="DB21" s="2">
        <v>140</v>
      </c>
      <c r="DC21" s="2">
        <v>32</v>
      </c>
      <c r="DE21" s="9">
        <f t="shared" si="43"/>
        <v>0</v>
      </c>
      <c r="DH21">
        <v>-20</v>
      </c>
    </row>
    <row r="22" spans="1:112" ht="15.75" thickBot="1">
      <c r="E22" s="2">
        <v>16</v>
      </c>
      <c r="F22" s="5" t="str">
        <f>IFERROR(LOOKUP(E22,CAPA!$C$8:$C$57,CAPA!$F$8:$F$57),"")</f>
        <v>D-areia argilosa</v>
      </c>
      <c r="G22" s="2" t="str">
        <f t="shared" si="0"/>
        <v>D</v>
      </c>
      <c r="H22" s="2" t="str">
        <f>IFERROR(LOOKUP(F22,Compatibilidade!$C$6:$C$20,Compatibilidade!$D$6:$D$20),"")</f>
        <v>C-silte arenoso</v>
      </c>
      <c r="I22" s="2" t="str">
        <f>IFERROR(LOOKUP(F22,Compatibilidade!$C$6:$C$20,Compatibilidade!$E$6:$E$20),"")</f>
        <v>B-Solos intermediários</v>
      </c>
      <c r="J22" s="2" t="str">
        <f>IFERROR(LOOKUP(F22,Compatibilidade!$C$6:$C$20,Compatibilidade!$F$6:$F$20),"")</f>
        <v>E-areia argilosa</v>
      </c>
      <c r="K22" s="124">
        <v>16</v>
      </c>
      <c r="L22" s="48">
        <f>IF(COUNTIF($BK$8:$BK$22,CAPA!F24)&gt;0,CAPA!D24,
        IF(CAPA!F24=$BK$23, IF(CAPA!$I$21="Nula",0,CAPA!D24),
             IF(CAPA!F24=$BK$24, IF(CAPA!$I$22="Negativa",-ABS(CAPA!D24),0),CAPA!D24)))</f>
        <v>15</v>
      </c>
      <c r="M22" s="48">
        <f>CAPA!E24</f>
        <v>20</v>
      </c>
      <c r="N22" s="2" t="str">
        <f t="shared" si="1"/>
        <v/>
      </c>
      <c r="O22" s="8">
        <f t="shared" si="2"/>
        <v>0.03</v>
      </c>
      <c r="P22" s="3">
        <f t="shared" si="3"/>
        <v>0.6</v>
      </c>
      <c r="Q22" s="3">
        <f t="shared" si="21"/>
        <v>1.33</v>
      </c>
      <c r="R22" s="3">
        <f t="shared" si="4"/>
        <v>2.66</v>
      </c>
      <c r="S22" s="3">
        <f t="shared" si="22"/>
        <v>101.50375939849623</v>
      </c>
      <c r="T22" s="12">
        <f t="shared" si="33"/>
        <v>5864.6616541353378</v>
      </c>
      <c r="U22" s="21">
        <f t="shared" si="23"/>
        <v>13</v>
      </c>
      <c r="V22" s="21">
        <f t="shared" si="24"/>
        <v>7.5333333333333332</v>
      </c>
      <c r="W22" s="3">
        <f t="shared" si="41"/>
        <v>0.81681408993334625</v>
      </c>
      <c r="X22" s="48">
        <f t="shared" si="45"/>
        <v>624.5864131294835</v>
      </c>
      <c r="Y22" s="48">
        <f>IF(W22="#N/D",NA(),IF(CAPA!$I$13=0,$C$16*T22,IF(CAPA!$I$13="Rp = 0",0,IF(CAPA!$I$13="Rp &lt; RL",IF($C$16*T22&gt;X22,X22,$C$16*T22),$C$16*T22))))</f>
        <v>311.37198766632071</v>
      </c>
      <c r="Z22" s="48">
        <f t="shared" si="44"/>
        <v>935.95840079580421</v>
      </c>
      <c r="AA22" s="48">
        <f t="shared" si="34"/>
        <v>492.60968462937063</v>
      </c>
      <c r="AC22" t="str">
        <f t="shared" si="6"/>
        <v/>
      </c>
      <c r="AD22" s="3">
        <f t="shared" si="7"/>
        <v>250</v>
      </c>
      <c r="AE22" s="3">
        <f t="shared" si="25"/>
        <v>1</v>
      </c>
      <c r="AF22" s="3">
        <f t="shared" si="8"/>
        <v>1</v>
      </c>
      <c r="AG22" s="3">
        <f t="shared" si="46"/>
        <v>60</v>
      </c>
      <c r="AH22" s="12">
        <f t="shared" si="35"/>
        <v>3500</v>
      </c>
      <c r="AI22" s="21">
        <f t="shared" si="26"/>
        <v>14</v>
      </c>
      <c r="AJ22" s="21">
        <f t="shared" si="10"/>
        <v>7.5333333333333332</v>
      </c>
      <c r="AK22" s="3">
        <f t="shared" si="11"/>
        <v>0.81681408993334625</v>
      </c>
      <c r="AL22" s="48">
        <f t="shared" si="36"/>
        <v>430.18875403156238</v>
      </c>
      <c r="AM22" s="12">
        <f>IF(AK22="#N/D",NA(),
        IF(CAPA!$I$13=0,AE22*$C$16*AH22,
             IF(CAPA!$I$13="Rp = 0",0,
                  IF(CAPA!$I$13="Rp &lt; RL",IF(AE22*$C$16*AH22&gt;AL22,AL22,AE22*$C$16*AH22),AE22*$C$16*AH22))))</f>
        <v>185.8252054598363</v>
      </c>
      <c r="AN22" s="46">
        <f t="shared" si="12"/>
        <v>616.01395949139874</v>
      </c>
      <c r="AO22" s="46">
        <f t="shared" si="27"/>
        <v>308.00697974569937</v>
      </c>
      <c r="AQ22" t="str">
        <f t="shared" si="13"/>
        <v/>
      </c>
      <c r="AR22" s="3">
        <f t="shared" si="14"/>
        <v>300</v>
      </c>
      <c r="AS22" s="3">
        <f t="shared" si="28"/>
        <v>4</v>
      </c>
      <c r="AT22" s="19">
        <f t="shared" si="37"/>
        <v>60</v>
      </c>
      <c r="AU22" s="12">
        <f t="shared" si="38"/>
        <v>4389.2307692307695</v>
      </c>
      <c r="AV22" s="21">
        <f t="shared" si="29"/>
        <v>14.63076923076923</v>
      </c>
      <c r="AW22" s="21">
        <f t="shared" si="15"/>
        <v>7.5333333333333332</v>
      </c>
      <c r="AX22" s="3">
        <f t="shared" si="16"/>
        <v>0.81681408993334625</v>
      </c>
      <c r="AY22" s="48">
        <f t="shared" si="39"/>
        <v>369.19996864987246</v>
      </c>
      <c r="AZ22" s="19">
        <f>IF(K22&lt;=$C$28,NA(),IF(CAPA!$I$13=0,$C$16*AU22,IF(CAPA!$I$13="Rp = 0",0,IF(CAPA!$I$13="Rp &lt; RL",IF($C$16*AU22&gt;AY22,AY22,$C$16*AU22),$C$16*AU22))))</f>
        <v>233.03705985798373</v>
      </c>
      <c r="BA22" s="11">
        <f t="shared" si="17"/>
        <v>602.23702850785617</v>
      </c>
      <c r="BB22" s="11">
        <f t="shared" si="18"/>
        <v>301.11851425392808</v>
      </c>
      <c r="BD22" s="119">
        <f t="shared" si="19"/>
        <v>1743.328320802005</v>
      </c>
      <c r="BE22" s="48">
        <f t="shared" si="30"/>
        <v>474.65837860363945</v>
      </c>
      <c r="BF22" s="12">
        <f t="shared" si="31"/>
        <v>243.41141766138026</v>
      </c>
      <c r="BG22" s="11">
        <f t="shared" si="20"/>
        <v>718.0697962650197</v>
      </c>
      <c r="BH22" s="11">
        <f t="shared" si="40"/>
        <v>359.03489813250985</v>
      </c>
      <c r="BI22" s="21"/>
      <c r="BJ22" t="s">
        <v>33</v>
      </c>
      <c r="BK22" s="7" t="s">
        <v>49</v>
      </c>
      <c r="BL22" s="3">
        <v>0.33</v>
      </c>
      <c r="BM22" s="4">
        <v>0.03</v>
      </c>
      <c r="BN22" s="2"/>
      <c r="BO22" s="1"/>
      <c r="BP22" s="2"/>
      <c r="BQ22" s="2"/>
      <c r="BS22" t="s">
        <v>100</v>
      </c>
      <c r="BT22" s="2">
        <v>1</v>
      </c>
      <c r="BU22" s="2">
        <v>1</v>
      </c>
      <c r="BV22" s="2">
        <v>1</v>
      </c>
      <c r="BW22" s="2">
        <v>0.6</v>
      </c>
      <c r="BX22" s="2">
        <v>0.6</v>
      </c>
      <c r="BY22" s="2">
        <v>0.3</v>
      </c>
      <c r="BZ22" s="111">
        <v>0.4</v>
      </c>
      <c r="CA22" s="2">
        <v>0.6</v>
      </c>
      <c r="CB22" s="2">
        <v>1</v>
      </c>
      <c r="CC22" s="2">
        <v>0.6</v>
      </c>
      <c r="CD22" s="23">
        <f>LOOKUP($C$5,$BT$20:$CC$20,$BT$22:$CC$22)</f>
        <v>1</v>
      </c>
      <c r="CE22" s="24"/>
      <c r="CF22" s="179"/>
      <c r="CG22" s="175" t="s">
        <v>52</v>
      </c>
      <c r="CH22" s="175" t="s">
        <v>53</v>
      </c>
      <c r="CI22" s="175" t="str">
        <f>"C-Pré-moldada"</f>
        <v>C-Pré-moldada</v>
      </c>
      <c r="CJ22" s="175" t="s">
        <v>55</v>
      </c>
      <c r="CK22" s="175" t="s">
        <v>56</v>
      </c>
      <c r="CL22" s="175" t="s">
        <v>57</v>
      </c>
      <c r="CM22" s="2" t="s">
        <v>58</v>
      </c>
      <c r="CN22" s="2" t="s">
        <v>127</v>
      </c>
      <c r="CO22" s="2" t="s">
        <v>128</v>
      </c>
      <c r="CP22" s="2" t="s">
        <v>147</v>
      </c>
      <c r="CQ22" s="9" t="str">
        <f>LOOKUP(CQ21,CG21:CP21,CG22:CP22)</f>
        <v>C-Pré-moldada</v>
      </c>
      <c r="CT22" s="2">
        <v>12</v>
      </c>
      <c r="CX22" s="2">
        <v>120</v>
      </c>
      <c r="DB22" s="2">
        <v>150</v>
      </c>
      <c r="DC22" s="2">
        <v>35</v>
      </c>
      <c r="DE22" s="9">
        <f t="shared" si="43"/>
        <v>0</v>
      </c>
      <c r="DH22">
        <v>-21</v>
      </c>
    </row>
    <row r="23" spans="1:112">
      <c r="B23" s="2" t="str">
        <f>H4</f>
        <v>Décourt</v>
      </c>
      <c r="C23" s="2" t="str">
        <f>J4</f>
        <v>Teixieria</v>
      </c>
      <c r="D23" t="s">
        <v>140</v>
      </c>
      <c r="E23" s="2">
        <v>17</v>
      </c>
      <c r="F23" s="5" t="str">
        <f>IFERROR(LOOKUP(E23,CAPA!$C$8:$C$57,CAPA!$F$8:$F$57),"")</f>
        <v>D-areia argilosa</v>
      </c>
      <c r="G23" s="2" t="str">
        <f t="shared" si="0"/>
        <v>D</v>
      </c>
      <c r="H23" s="2" t="str">
        <f>IFERROR(LOOKUP(F23,Compatibilidade!$C$6:$C$20,Compatibilidade!$D$6:$D$20),"")</f>
        <v>C-silte arenoso</v>
      </c>
      <c r="I23" s="2" t="str">
        <f>IFERROR(LOOKUP(F23,Compatibilidade!$C$6:$C$20,Compatibilidade!$E$6:$E$20),"")</f>
        <v>B-Solos intermediários</v>
      </c>
      <c r="J23" s="2" t="str">
        <f>IFERROR(LOOKUP(F23,Compatibilidade!$C$6:$C$20,Compatibilidade!$F$6:$F$20),"")</f>
        <v>E-areia argilosa</v>
      </c>
      <c r="K23" s="124">
        <v>17</v>
      </c>
      <c r="L23" s="48">
        <f>IF(COUNTIF($BK$8:$BK$22,CAPA!F25)&gt;0,CAPA!D25,
        IF(CAPA!F25=$BK$23, IF(CAPA!$I$21="Nula",0,CAPA!D25),
             IF(CAPA!F25=$BK$24, IF(CAPA!$I$22="Negativa",-ABS(CAPA!D25),0),CAPA!D25)))</f>
        <v>13</v>
      </c>
      <c r="M23" s="48">
        <f>CAPA!E25</f>
        <v>20</v>
      </c>
      <c r="N23" s="2" t="str">
        <f t="shared" si="1"/>
        <v/>
      </c>
      <c r="O23" s="8">
        <f t="shared" si="2"/>
        <v>0.03</v>
      </c>
      <c r="P23" s="3">
        <f t="shared" si="3"/>
        <v>0.6</v>
      </c>
      <c r="Q23" s="3">
        <f t="shared" si="21"/>
        <v>1.33</v>
      </c>
      <c r="R23" s="3">
        <f t="shared" si="4"/>
        <v>2.66</v>
      </c>
      <c r="S23" s="3">
        <f t="shared" si="22"/>
        <v>87.969924812030072</v>
      </c>
      <c r="T23" s="12">
        <f t="shared" si="33"/>
        <v>6315.78947368421</v>
      </c>
      <c r="U23" s="21">
        <f t="shared" si="23"/>
        <v>14</v>
      </c>
      <c r="V23" s="21">
        <f t="shared" si="24"/>
        <v>7.875</v>
      </c>
      <c r="W23" s="3">
        <f t="shared" si="41"/>
        <v>0.81681408993334625</v>
      </c>
      <c r="X23" s="48">
        <f t="shared" si="45"/>
        <v>696.44148720632677</v>
      </c>
      <c r="Y23" s="48">
        <f>IF(W23="#N/D",NA(),IF(CAPA!$I$13=0,$C$16*T23,IF(CAPA!$I$13="Rp = 0",0,IF(CAPA!$I$13="Rp &lt; RL",IF($C$16*T23&gt;X23,X23,$C$16*T23),$C$16*T23))))</f>
        <v>335.32367902526846</v>
      </c>
      <c r="Z23" s="48">
        <f t="shared" ref="Z23:Z28" si="47">IF(O23="",NA(),IF(W23="#N/D",NA(),X23+Y23))</f>
        <v>1031.7651662315952</v>
      </c>
      <c r="AA23" s="48">
        <f t="shared" si="34"/>
        <v>543.03429801662912</v>
      </c>
      <c r="AC23" t="str">
        <f t="shared" si="6"/>
        <v/>
      </c>
      <c r="AD23" s="3">
        <f t="shared" si="7"/>
        <v>250</v>
      </c>
      <c r="AE23" s="3">
        <f t="shared" si="25"/>
        <v>1</v>
      </c>
      <c r="AF23" s="3">
        <f t="shared" si="8"/>
        <v>1</v>
      </c>
      <c r="AG23" s="3">
        <f t="shared" si="46"/>
        <v>53.333333333333329</v>
      </c>
      <c r="AH23" s="12">
        <f t="shared" si="35"/>
        <v>3583.3333333333335</v>
      </c>
      <c r="AI23" s="21">
        <f t="shared" si="26"/>
        <v>14.333333333333334</v>
      </c>
      <c r="AJ23" s="21">
        <f t="shared" si="10"/>
        <v>7.875</v>
      </c>
      <c r="AK23" s="3">
        <f t="shared" si="11"/>
        <v>0.81681408993334625</v>
      </c>
      <c r="AL23" s="48">
        <f t="shared" si="36"/>
        <v>473.75217216134087</v>
      </c>
      <c r="AM23" s="12">
        <f>IF(AK23="#N/D",NA(),
        IF(CAPA!$I$13=0,AE23*$C$16*AH23,
             IF(CAPA!$I$13="Rp = 0",0,
                  IF(CAPA!$I$13="Rp &lt; RL",IF(AE23*$C$16*AH23&gt;AL23,AL23,AE23*$C$16*AH23),AE23*$C$16*AH23))))</f>
        <v>190.24961511364194</v>
      </c>
      <c r="AN23" s="46">
        <f t="shared" si="12"/>
        <v>664.0017872749828</v>
      </c>
      <c r="AO23" s="46">
        <f t="shared" si="27"/>
        <v>332.0008936374914</v>
      </c>
      <c r="AQ23" t="str">
        <f t="shared" si="13"/>
        <v/>
      </c>
      <c r="AR23" s="3">
        <f t="shared" si="14"/>
        <v>300</v>
      </c>
      <c r="AS23" s="3">
        <f t="shared" si="28"/>
        <v>4</v>
      </c>
      <c r="AT23" s="19">
        <f t="shared" si="37"/>
        <v>52</v>
      </c>
      <c r="AU23" s="12">
        <f t="shared" si="38"/>
        <v>3978.4615384615386</v>
      </c>
      <c r="AV23" s="21">
        <f t="shared" si="29"/>
        <v>13.261538461538462</v>
      </c>
      <c r="AW23" s="21">
        <f t="shared" si="15"/>
        <v>7.875</v>
      </c>
      <c r="AX23" s="3">
        <f t="shared" si="16"/>
        <v>0.81681408993334625</v>
      </c>
      <c r="AY23" s="48">
        <f t="shared" si="39"/>
        <v>411.67430132640646</v>
      </c>
      <c r="AZ23" s="19">
        <f>IF(K23&lt;=$C$28,NA(),IF(CAPA!$I$13=0,$C$16*AU23,IF(CAPA!$I$13="Rp = 0",0,IF(CAPA!$I$13="Rp &lt; RL",IF($C$16*AU23&gt;AY23,AY23,$C$16*AU23),$C$16*AU23))))</f>
        <v>211.22812365676336</v>
      </c>
      <c r="BA23" s="11">
        <f t="shared" si="17"/>
        <v>622.90242498316979</v>
      </c>
      <c r="BB23" s="11">
        <f t="shared" si="18"/>
        <v>311.4512124915849</v>
      </c>
      <c r="BD23" s="119">
        <f t="shared" si="19"/>
        <v>1936.6315789473683</v>
      </c>
      <c r="BE23" s="48">
        <f t="shared" si="30"/>
        <v>527.28932023135803</v>
      </c>
      <c r="BF23" s="12">
        <f>(AM23+AZ23+Y23)/3</f>
        <v>245.6004725985579</v>
      </c>
      <c r="BG23" s="11">
        <f t="shared" si="20"/>
        <v>772.88979282991602</v>
      </c>
      <c r="BH23" s="11">
        <f t="shared" si="40"/>
        <v>386.44489641495801</v>
      </c>
      <c r="BI23" s="21"/>
      <c r="BK23" s="1" t="s">
        <v>294</v>
      </c>
      <c r="BL23" s="2"/>
      <c r="BM23" s="4"/>
      <c r="BN23" s="2"/>
      <c r="BO23" s="1"/>
      <c r="BP23" s="2"/>
      <c r="BQ23" s="2"/>
      <c r="BS23" t="s">
        <v>101</v>
      </c>
      <c r="BT23" s="2">
        <v>1</v>
      </c>
      <c r="BU23" s="2">
        <v>1</v>
      </c>
      <c r="BV23" s="2">
        <v>1</v>
      </c>
      <c r="BW23" s="2">
        <v>0.5</v>
      </c>
      <c r="BX23" s="2">
        <v>0.5</v>
      </c>
      <c r="BY23" s="2">
        <v>0.3</v>
      </c>
      <c r="BZ23" s="111">
        <v>0.4</v>
      </c>
      <c r="CA23" s="2">
        <v>0.5</v>
      </c>
      <c r="CB23" s="2">
        <v>1</v>
      </c>
      <c r="CC23" s="2">
        <v>0.5</v>
      </c>
      <c r="CD23" s="23">
        <f>LOOKUP($C$5,$BT$20:$CC$20,$BT$23:$CC$23)</f>
        <v>1</v>
      </c>
      <c r="CE23" s="24"/>
      <c r="CG23" s="2">
        <v>1</v>
      </c>
      <c r="CH23" s="2">
        <v>2</v>
      </c>
      <c r="CI23" s="2">
        <v>3</v>
      </c>
      <c r="CJ23" s="2">
        <v>4</v>
      </c>
      <c r="CK23" s="2">
        <v>5</v>
      </c>
      <c r="CL23" s="2">
        <v>6</v>
      </c>
      <c r="CM23" s="2">
        <v>7</v>
      </c>
      <c r="CN23" s="2">
        <v>8</v>
      </c>
      <c r="CO23" s="2">
        <v>9</v>
      </c>
      <c r="CP23" s="2">
        <v>10</v>
      </c>
      <c r="CQ23" s="26"/>
      <c r="CT23" s="2">
        <v>13</v>
      </c>
      <c r="CX23" s="2">
        <v>130</v>
      </c>
      <c r="DB23" s="2">
        <v>160</v>
      </c>
      <c r="DC23" s="2">
        <v>38</v>
      </c>
      <c r="DE23" s="9">
        <f t="shared" si="43"/>
        <v>0</v>
      </c>
      <c r="DH23">
        <v>-22</v>
      </c>
    </row>
    <row r="24" spans="1:112">
      <c r="A24" s="5" t="s">
        <v>82</v>
      </c>
      <c r="B24" s="21">
        <f>B26</f>
        <v>2</v>
      </c>
      <c r="C24" s="21">
        <f>C26</f>
        <v>2</v>
      </c>
      <c r="D24" s="21">
        <f>D26</f>
        <v>1.9</v>
      </c>
      <c r="E24" s="2">
        <v>18</v>
      </c>
      <c r="F24" s="5" t="str">
        <f>IFERROR(LOOKUP(E24,CAPA!$C$8:$C$57,CAPA!$F$8:$F$57),"")</f>
        <v>D-areia argilosa</v>
      </c>
      <c r="G24" s="2" t="str">
        <f t="shared" si="0"/>
        <v>D</v>
      </c>
      <c r="H24" s="2" t="str">
        <f>IFERROR(LOOKUP(F24,Compatibilidade!$C$6:$C$20,Compatibilidade!$D$6:$D$20),"")</f>
        <v>C-silte arenoso</v>
      </c>
      <c r="I24" s="2" t="str">
        <f>IFERROR(LOOKUP(F24,Compatibilidade!$C$6:$C$20,Compatibilidade!$E$6:$E$20),"")</f>
        <v>B-Solos intermediários</v>
      </c>
      <c r="J24" s="2" t="str">
        <f>IFERROR(LOOKUP(F24,Compatibilidade!$C$6:$C$20,Compatibilidade!$F$6:$F$20),"")</f>
        <v>E-areia argilosa</v>
      </c>
      <c r="K24" s="124">
        <v>18</v>
      </c>
      <c r="L24" s="48">
        <f>IF(COUNTIF($BK$8:$BK$22,CAPA!F26)&gt;0,CAPA!D26,
        IF(CAPA!F26=$BK$23, IF(CAPA!$I$21="Nula",0,CAPA!D26),
             IF(CAPA!F26=$BK$24, IF(CAPA!$I$22="Negativa",-ABS(CAPA!D26),0),CAPA!D26)))</f>
        <v>14</v>
      </c>
      <c r="M24" s="48">
        <f>CAPA!E26</f>
        <v>20</v>
      </c>
      <c r="N24" s="2" t="str">
        <f t="shared" si="1"/>
        <v/>
      </c>
      <c r="O24" s="8">
        <f t="shared" si="2"/>
        <v>0.03</v>
      </c>
      <c r="P24" s="3">
        <f t="shared" si="3"/>
        <v>0.6</v>
      </c>
      <c r="Q24" s="3">
        <f t="shared" si="21"/>
        <v>1.33</v>
      </c>
      <c r="R24" s="3">
        <f t="shared" si="4"/>
        <v>2.66</v>
      </c>
      <c r="S24" s="3">
        <f t="shared" si="22"/>
        <v>94.73684210526315</v>
      </c>
      <c r="T24" s="12">
        <f t="shared" si="33"/>
        <v>7218.0451127819542</v>
      </c>
      <c r="U24" s="21">
        <f t="shared" si="23"/>
        <v>16</v>
      </c>
      <c r="V24" s="21">
        <f t="shared" si="24"/>
        <v>8.235294117647058</v>
      </c>
      <c r="W24" s="3">
        <f t="shared" si="41"/>
        <v>0.81681408993334625</v>
      </c>
      <c r="X24" s="48">
        <f t="shared" si="45"/>
        <v>773.82387467369642</v>
      </c>
      <c r="Y24" s="48">
        <f>IF(W24="#N/D",NA(),IF(CAPA!$I$13=0,$C$16*T24,IF(CAPA!$I$13="Rp = 0",0,IF(CAPA!$I$13="Rp &lt; RL",IF($C$16*T24&gt;X24,X24,$C$16*T24),$C$16*T24))))</f>
        <v>383.22706174316397</v>
      </c>
      <c r="Z24" s="48">
        <f t="shared" si="47"/>
        <v>1157.0509364168604</v>
      </c>
      <c r="AA24" s="48">
        <f t="shared" si="34"/>
        <v>608.97417706150554</v>
      </c>
      <c r="AC24" t="str">
        <f t="shared" si="6"/>
        <v/>
      </c>
      <c r="AD24" s="3">
        <f t="shared" si="7"/>
        <v>250</v>
      </c>
      <c r="AE24" s="3">
        <f t="shared" si="25"/>
        <v>1</v>
      </c>
      <c r="AF24" s="3">
        <f t="shared" si="8"/>
        <v>1</v>
      </c>
      <c r="AG24" s="3">
        <f t="shared" si="46"/>
        <v>56.666666666666671</v>
      </c>
      <c r="AH24" s="12">
        <f t="shared" si="35"/>
        <v>4250</v>
      </c>
      <c r="AI24" s="21">
        <f t="shared" si="26"/>
        <v>17</v>
      </c>
      <c r="AJ24" s="21">
        <f t="shared" si="10"/>
        <v>8.235294117647058</v>
      </c>
      <c r="AK24" s="3">
        <f t="shared" si="11"/>
        <v>0.81681408993334625</v>
      </c>
      <c r="AL24" s="48">
        <f t="shared" si="36"/>
        <v>520.03830392423049</v>
      </c>
      <c r="AM24" s="12">
        <f>IF(AK24="#N/D",NA(),
        IF(CAPA!$I$13=0,AE24*$C$16*AH24,
             IF(CAPA!$I$13="Rp = 0",0,
                  IF(CAPA!$I$13="Rp &lt; RL",IF(AE24*$C$16*AH24&gt;AL24,AL24,AE24*$C$16*AH24),AE24*$C$16*AH24))))</f>
        <v>225.64489234408694</v>
      </c>
      <c r="AN24" s="46">
        <f t="shared" si="12"/>
        <v>745.68319626831749</v>
      </c>
      <c r="AO24" s="46">
        <f>IFERROR((AL24/$B$24)+(AM24/$B$25),NA())</f>
        <v>372.84159813415874</v>
      </c>
      <c r="AQ24" t="str">
        <f t="shared" si="13"/>
        <v/>
      </c>
      <c r="AR24" s="3">
        <f t="shared" si="14"/>
        <v>300</v>
      </c>
      <c r="AS24" s="3">
        <f t="shared" si="28"/>
        <v>4</v>
      </c>
      <c r="AT24" s="19">
        <f t="shared" si="37"/>
        <v>56</v>
      </c>
      <c r="AU24" s="12">
        <f t="shared" si="38"/>
        <v>4310.7692307692305</v>
      </c>
      <c r="AV24" s="21">
        <f t="shared" si="29"/>
        <v>14.369230769230768</v>
      </c>
      <c r="AW24" s="21">
        <f t="shared" si="15"/>
        <v>8.235294117647058</v>
      </c>
      <c r="AX24" s="3">
        <f t="shared" si="16"/>
        <v>0.81681408993334625</v>
      </c>
      <c r="AY24" s="48">
        <f t="shared" si="39"/>
        <v>457.41589036267385</v>
      </c>
      <c r="AZ24" s="19">
        <f>IF(K24&lt;=$C$28,NA(),IF(CAPA!$I$13=0,$C$16*AU24,IF(CAPA!$I$13="Rp = 0",0,IF(CAPA!$I$13="Rp &lt; RL",IF($C$16*AU24&gt;AY24,AY24,$C$16*AU24),$C$16*AU24))))</f>
        <v>228.87130799932362</v>
      </c>
      <c r="BA24" s="11">
        <f t="shared" si="17"/>
        <v>686.28719836199753</v>
      </c>
      <c r="BB24" s="11">
        <f>IFERROR(IF(O24="",NA(),IF(OR($C$5="D-Escavada",$C$5="H-Escavada (bentonita)",$C$5="J-Strauss"),(AY24/$C$24+AZ24/$C$25),(BA24/$C$26))),NA())</f>
        <v>343.14359918099876</v>
      </c>
      <c r="BD24" s="119">
        <f t="shared" si="19"/>
        <v>2144.0350877192982</v>
      </c>
      <c r="BE24" s="48">
        <f t="shared" si="30"/>
        <v>583.75935632020025</v>
      </c>
      <c r="BF24" s="12">
        <f>(AM24+AZ24+Y24)/3</f>
        <v>279.2477540288582</v>
      </c>
      <c r="BG24" s="11">
        <f>(BA24+Z24+AN24)/3</f>
        <v>863.00711034905851</v>
      </c>
      <c r="BH24" s="11">
        <f t="shared" si="40"/>
        <v>431.50355517452925</v>
      </c>
      <c r="BI24" s="21"/>
      <c r="BK24" s="7" t="s">
        <v>295</v>
      </c>
      <c r="BZ24" s="197"/>
      <c r="CF24" t="s">
        <v>103</v>
      </c>
      <c r="CG24" s="3">
        <v>100</v>
      </c>
      <c r="CH24" s="3">
        <v>110</v>
      </c>
      <c r="CI24" s="3">
        <v>110</v>
      </c>
      <c r="CJ24" s="3">
        <v>100</v>
      </c>
      <c r="CK24" s="3">
        <v>100</v>
      </c>
      <c r="CL24" s="3">
        <f t="shared" ref="CL24:CL31" si="48">CJ24</f>
        <v>100</v>
      </c>
      <c r="CM24" s="47">
        <f>CL24</f>
        <v>100</v>
      </c>
      <c r="CN24" s="47">
        <f>CJ24</f>
        <v>100</v>
      </c>
      <c r="CO24" s="47">
        <f>CK24</f>
        <v>100</v>
      </c>
      <c r="CP24" s="47">
        <f>CL24</f>
        <v>100</v>
      </c>
      <c r="CQ24" s="26">
        <f>LOOKUP($CQ$21,$CG$23:$CP$23,CG24:CP24)</f>
        <v>110</v>
      </c>
      <c r="CT24" s="2">
        <v>14</v>
      </c>
      <c r="CX24" s="2">
        <v>140</v>
      </c>
      <c r="DB24" s="2">
        <v>170</v>
      </c>
      <c r="DC24" s="2">
        <v>40</v>
      </c>
      <c r="DE24" s="9">
        <f>LOOKUP($DE$9,$CU$9:$DD$9,CU24:DD24)</f>
        <v>0</v>
      </c>
      <c r="DH24">
        <v>-23</v>
      </c>
    </row>
    <row r="25" spans="1:112">
      <c r="A25" s="5" t="s">
        <v>81</v>
      </c>
      <c r="B25" s="21">
        <f>B26</f>
        <v>2</v>
      </c>
      <c r="C25" s="21">
        <f>C26</f>
        <v>2</v>
      </c>
      <c r="D25" s="21">
        <f>D26</f>
        <v>1.9</v>
      </c>
      <c r="E25" s="2">
        <v>19</v>
      </c>
      <c r="F25" s="5" t="str">
        <f>IFERROR(LOOKUP(E25,CAPA!$C$8:$C$57,CAPA!$F$8:$F$57),"")</f>
        <v>D-areia argilosa</v>
      </c>
      <c r="G25" s="2" t="str">
        <f t="shared" si="0"/>
        <v>D</v>
      </c>
      <c r="H25" s="2" t="str">
        <f>IFERROR(LOOKUP(F25,Compatibilidade!$C$6:$C$20,Compatibilidade!$D$6:$D$20),"")</f>
        <v>C-silte arenoso</v>
      </c>
      <c r="I25" s="2" t="str">
        <f>IFERROR(LOOKUP(F25,Compatibilidade!$C$6:$C$20,Compatibilidade!$E$6:$E$20),"")</f>
        <v>B-Solos intermediários</v>
      </c>
      <c r="J25" s="2" t="str">
        <f>IFERROR(LOOKUP(F25,Compatibilidade!$C$6:$C$20,Compatibilidade!$F$6:$F$20),"")</f>
        <v>E-areia argilosa</v>
      </c>
      <c r="K25" s="124">
        <v>19</v>
      </c>
      <c r="L25" s="48">
        <f>IF(COUNTIF($BK$8:$BK$22,CAPA!F27)&gt;0,CAPA!D27,
        IF(CAPA!F27=$BK$23, IF(CAPA!$I$21="Nula",0,CAPA!D27),
             IF(CAPA!F27=$BK$24, IF(CAPA!$I$22="Negativa",-ABS(CAPA!D27),0),CAPA!D27)))</f>
        <v>16</v>
      </c>
      <c r="M25" s="48">
        <f>CAPA!E27</f>
        <v>20</v>
      </c>
      <c r="N25" s="2" t="str">
        <f t="shared" si="1"/>
        <v/>
      </c>
      <c r="O25" s="8">
        <f t="shared" si="2"/>
        <v>0.03</v>
      </c>
      <c r="P25" s="3">
        <f t="shared" si="3"/>
        <v>0.6</v>
      </c>
      <c r="Q25" s="3">
        <f t="shared" si="21"/>
        <v>1.33</v>
      </c>
      <c r="R25" s="3">
        <f t="shared" si="4"/>
        <v>2.66</v>
      </c>
      <c r="S25" s="3">
        <f t="shared" si="22"/>
        <v>108.27067669172932</v>
      </c>
      <c r="T25" s="12">
        <f t="shared" si="33"/>
        <v>9473.6842105263149</v>
      </c>
      <c r="U25" s="21">
        <f t="shared" si="23"/>
        <v>21</v>
      </c>
      <c r="V25" s="21">
        <f t="shared" si="24"/>
        <v>8.6666666666666661</v>
      </c>
      <c r="W25" s="3">
        <f t="shared" si="41"/>
        <v>0.81681408993334625</v>
      </c>
      <c r="X25" s="48">
        <f t="shared" si="45"/>
        <v>862.26088892211885</v>
      </c>
      <c r="Y25" s="48">
        <f>IF(W25="#N/D",NA(),IF(CAPA!$I$13=0,$C$16*T25,IF(CAPA!$I$13="Rp = 0",0,IF(CAPA!$I$13="Rp &lt; RL",IF($C$16*T25&gt;X25,X25,$C$16*T25),$C$16*T25))))</f>
        <v>502.98551853790269</v>
      </c>
      <c r="Z25" s="48">
        <f t="shared" si="47"/>
        <v>1365.2464074600216</v>
      </c>
      <c r="AA25" s="48">
        <f t="shared" si="34"/>
        <v>718.55074076843243</v>
      </c>
      <c r="AC25" t="str">
        <f t="shared" si="6"/>
        <v/>
      </c>
      <c r="AD25" s="3">
        <f t="shared" si="7"/>
        <v>250</v>
      </c>
      <c r="AE25" s="3">
        <f t="shared" si="25"/>
        <v>1</v>
      </c>
      <c r="AF25" s="3">
        <f t="shared" si="8"/>
        <v>1</v>
      </c>
      <c r="AG25" s="3">
        <f t="shared" si="46"/>
        <v>63.333333333333329</v>
      </c>
      <c r="AH25" s="12">
        <f t="shared" si="35"/>
        <v>5416.666666666667</v>
      </c>
      <c r="AI25" s="21">
        <f t="shared" si="26"/>
        <v>21.666666666666668</v>
      </c>
      <c r="AJ25" s="21">
        <f t="shared" si="10"/>
        <v>8.6666666666666661</v>
      </c>
      <c r="AK25" s="3">
        <f t="shared" si="11"/>
        <v>0.81681408993334625</v>
      </c>
      <c r="AL25" s="48">
        <f t="shared" si="36"/>
        <v>571.76986295334245</v>
      </c>
      <c r="AM25" s="12">
        <f>IF(AK25="#N/D",NA(),
        IF(CAPA!$I$13=0,AE25*$C$16*AH25,
             IF(CAPA!$I$13="Rp = 0",0,
                  IF(CAPA!$I$13="Rp &lt; RL",IF(AE25*$C$16*AH25&gt;AL25,AL25,AE25*$C$16*AH25),AE25*$C$16*AH25))))</f>
        <v>287.58662749736573</v>
      </c>
      <c r="AN25" s="46">
        <f t="shared" ref="AN25:AN31" si="49">IFERROR(IF(AK25="#N/D",NA(),AL25+AM25),NA())</f>
        <v>859.35649045070818</v>
      </c>
      <c r="AO25" s="46">
        <f t="shared" si="27"/>
        <v>429.67824522535409</v>
      </c>
      <c r="AQ25" t="str">
        <f t="shared" si="13"/>
        <v/>
      </c>
      <c r="AR25" s="3">
        <f t="shared" si="14"/>
        <v>300</v>
      </c>
      <c r="AS25" s="3">
        <f t="shared" si="28"/>
        <v>4</v>
      </c>
      <c r="AT25" s="19">
        <f t="shared" si="37"/>
        <v>64</v>
      </c>
      <c r="AU25" s="12">
        <f t="shared" si="38"/>
        <v>5081.5384615384619</v>
      </c>
      <c r="AV25" s="21">
        <f t="shared" si="29"/>
        <v>16.938461538461539</v>
      </c>
      <c r="AW25" s="21">
        <f t="shared" si="15"/>
        <v>8.6666666666666661</v>
      </c>
      <c r="AX25" s="3">
        <f t="shared" si="16"/>
        <v>0.81681408993334625</v>
      </c>
      <c r="AY25" s="48">
        <f t="shared" si="39"/>
        <v>509.691992118408</v>
      </c>
      <c r="AZ25" s="19">
        <f>IF(K25&lt;=$C$28,NA(),IF(CAPA!$I$13=0,$C$16*AU25,IF(CAPA!$I$13="Rp = 0",0,IF(CAPA!$I$13="Rp &lt; RL",IF($C$16*AU25&gt;AY25,AY25,$C$16*AU25),$C$16*AU25))))</f>
        <v>269.79369390498431</v>
      </c>
      <c r="BA25" s="11">
        <f t="shared" si="17"/>
        <v>779.4856860233923</v>
      </c>
      <c r="BB25" s="11">
        <f t="shared" si="18"/>
        <v>389.74284301169615</v>
      </c>
      <c r="BD25" s="119">
        <f t="shared" si="19"/>
        <v>2379.6390977443607</v>
      </c>
      <c r="BE25" s="48">
        <f t="shared" si="30"/>
        <v>647.90758133128975</v>
      </c>
      <c r="BF25" s="12">
        <f t="shared" si="31"/>
        <v>353.45527998008424</v>
      </c>
      <c r="BG25" s="11">
        <f t="shared" si="20"/>
        <v>1001.3628613113739</v>
      </c>
      <c r="BH25" s="11">
        <f t="shared" si="40"/>
        <v>500.68143065568694</v>
      </c>
      <c r="BT25" s="7" t="s">
        <v>98</v>
      </c>
      <c r="BZ25" s="197"/>
      <c r="CF25" t="s">
        <v>92</v>
      </c>
      <c r="CG25" s="3">
        <v>120</v>
      </c>
      <c r="CH25" s="3">
        <v>160</v>
      </c>
      <c r="CI25" s="3">
        <v>160</v>
      </c>
      <c r="CJ25" s="3">
        <v>110</v>
      </c>
      <c r="CK25" s="3">
        <v>110</v>
      </c>
      <c r="CL25" s="3">
        <f t="shared" si="48"/>
        <v>110</v>
      </c>
      <c r="CM25" s="47">
        <f t="shared" ref="CM25:CM31" si="50">CL25</f>
        <v>110</v>
      </c>
      <c r="CN25" s="47">
        <f t="shared" ref="CN25:CP31" si="51">CJ25</f>
        <v>110</v>
      </c>
      <c r="CO25" s="47">
        <f t="shared" ref="CO25:CO31" si="52">CK25</f>
        <v>110</v>
      </c>
      <c r="CP25" s="47">
        <f t="shared" si="51"/>
        <v>110</v>
      </c>
      <c r="CQ25" s="26">
        <f t="shared" ref="CQ25:CQ31" si="53">LOOKUP($CQ$21,$CG$23:$CP$23,CG25:CP25)</f>
        <v>160</v>
      </c>
      <c r="DH25">
        <v>-24</v>
      </c>
    </row>
    <row r="26" spans="1:112">
      <c r="A26" s="5" t="s">
        <v>80</v>
      </c>
      <c r="B26" s="21">
        <f>CAPA!P24</f>
        <v>2</v>
      </c>
      <c r="C26" s="21">
        <f>CAPA!S24</f>
        <v>2</v>
      </c>
      <c r="D26" s="21">
        <f>CAPA!M24</f>
        <v>1.9</v>
      </c>
      <c r="E26" s="2">
        <v>20</v>
      </c>
      <c r="F26" s="5" t="str">
        <f>IFERROR(LOOKUP(E26,CAPA!$C$8:$C$57,CAPA!$F$8:$F$57),"")</f>
        <v>D-areia argilosa</v>
      </c>
      <c r="G26" s="2" t="str">
        <f t="shared" si="0"/>
        <v>D</v>
      </c>
      <c r="H26" s="2" t="str">
        <f>IFERROR(LOOKUP(F26,Compatibilidade!$C$6:$C$20,Compatibilidade!$D$6:$D$20),"")</f>
        <v>C-silte arenoso</v>
      </c>
      <c r="I26" s="2" t="str">
        <f>IFERROR(LOOKUP(F26,Compatibilidade!$C$6:$C$20,Compatibilidade!$E$6:$E$20),"")</f>
        <v>B-Solos intermediários</v>
      </c>
      <c r="J26" s="2" t="str">
        <f>IFERROR(LOOKUP(F26,Compatibilidade!$C$6:$C$20,Compatibilidade!$F$6:$F$20),"")</f>
        <v>E-areia argilosa</v>
      </c>
      <c r="K26" s="124">
        <v>20</v>
      </c>
      <c r="L26" s="48">
        <f>IF(COUNTIF($BK$8:$BK$22,CAPA!F28)&gt;0,CAPA!D28,
        IF(CAPA!F28=$BK$23, IF(CAPA!$I$21="Nula",0,CAPA!D28),
             IF(CAPA!F28=$BK$24, IF(CAPA!$I$22="Negativa",-ABS(CAPA!D28),0),CAPA!D28)))</f>
        <v>21</v>
      </c>
      <c r="M26" s="48">
        <f>CAPA!E28</f>
        <v>21</v>
      </c>
      <c r="N26" s="2" t="str">
        <f t="shared" si="1"/>
        <v/>
      </c>
      <c r="O26" s="8">
        <f t="shared" si="2"/>
        <v>0.03</v>
      </c>
      <c r="P26" s="3">
        <f t="shared" si="3"/>
        <v>0.6</v>
      </c>
      <c r="Q26" s="3">
        <f t="shared" si="21"/>
        <v>1.33</v>
      </c>
      <c r="R26" s="3">
        <f t="shared" si="4"/>
        <v>2.66</v>
      </c>
      <c r="S26" s="3">
        <f t="shared" si="22"/>
        <v>142.10526315789474</v>
      </c>
      <c r="T26" s="12">
        <f t="shared" si="33"/>
        <v>12631.57894736842</v>
      </c>
      <c r="U26" s="21">
        <f t="shared" si="23"/>
        <v>28</v>
      </c>
      <c r="V26" s="21">
        <f t="shared" si="24"/>
        <v>9.3157894736842106</v>
      </c>
      <c r="W26" s="3">
        <f t="shared" si="41"/>
        <v>0.81681408993334625</v>
      </c>
      <c r="X26" s="48">
        <f t="shared" si="45"/>
        <v>978.33447012317333</v>
      </c>
      <c r="Y26" s="48">
        <f>IF(W26="#N/D",NA(),IF(CAPA!$I$13=0,$C$16*T26,IF(CAPA!$I$13="Rp = 0",0,IF(CAPA!$I$13="Rp &lt; RL",IF($C$16*T26&gt;X26,X26,$C$16*T26),$C$16*T26))))</f>
        <v>670.64735805053692</v>
      </c>
      <c r="Z26" s="48">
        <f t="shared" si="47"/>
        <v>1648.9818281737103</v>
      </c>
      <c r="AA26" s="48">
        <f t="shared" si="34"/>
        <v>867.88517272300544</v>
      </c>
      <c r="AC26" t="str">
        <f t="shared" si="6"/>
        <v/>
      </c>
      <c r="AD26" s="3">
        <f t="shared" si="7"/>
        <v>250</v>
      </c>
      <c r="AE26" s="3">
        <f t="shared" si="25"/>
        <v>1</v>
      </c>
      <c r="AF26" s="3">
        <f t="shared" si="8"/>
        <v>1</v>
      </c>
      <c r="AG26" s="3">
        <f>IF(OR(K26&lt;=C$28,AF26=""),0,IFERROR(10*((L26/3)+1),NA()))</f>
        <v>80</v>
      </c>
      <c r="AH26" s="12">
        <f t="shared" si="35"/>
        <v>6166.666666666667</v>
      </c>
      <c r="AI26" s="21">
        <f t="shared" si="26"/>
        <v>24.666666666666668</v>
      </c>
      <c r="AJ26" s="21">
        <f t="shared" si="10"/>
        <v>9.3157894736842106</v>
      </c>
      <c r="AK26" s="3">
        <f t="shared" si="11"/>
        <v>0.81681408993334625</v>
      </c>
      <c r="AL26" s="48">
        <f t="shared" si="36"/>
        <v>637.11499014801018</v>
      </c>
      <c r="AM26" s="12">
        <f>IF(AK26="#N/D",NA(),
        IF(CAPA!$I$13=0,AE26*$C$16*AH26,
             IF(CAPA!$I$13="Rp = 0",0,
                  IF(CAPA!$I$13="Rp &lt; RL",IF(AE26*$C$16*AH26&gt;AL26,AL26,AE26*$C$16*AH26),AE26*$C$16*AH26))))</f>
        <v>327.40631438161637</v>
      </c>
      <c r="AN26" s="46">
        <f t="shared" si="49"/>
        <v>964.5213045296266</v>
      </c>
      <c r="AO26" s="46">
        <f t="shared" si="27"/>
        <v>482.2606522648133</v>
      </c>
      <c r="AQ26" t="str">
        <f t="shared" si="13"/>
        <v/>
      </c>
      <c r="AR26" s="3">
        <f t="shared" si="14"/>
        <v>300</v>
      </c>
      <c r="AS26" s="3">
        <f t="shared" si="28"/>
        <v>4</v>
      </c>
      <c r="AT26" s="19">
        <f t="shared" si="37"/>
        <v>84</v>
      </c>
      <c r="AU26" s="12">
        <f t="shared" si="38"/>
        <v>6673.8461538461534</v>
      </c>
      <c r="AV26" s="21">
        <f t="shared" si="29"/>
        <v>22.246153846153845</v>
      </c>
      <c r="AW26" s="21">
        <f t="shared" si="15"/>
        <v>9.3157894736842106</v>
      </c>
      <c r="AX26" s="3">
        <f t="shared" si="16"/>
        <v>0.81681408993334625</v>
      </c>
      <c r="AY26" s="48">
        <f t="shared" si="39"/>
        <v>578.3043756728091</v>
      </c>
      <c r="AZ26" s="19">
        <f>IF(K26&lt;=$C$28,NA(),IF(CAPA!$I$13=0,$C$16*AU26,IF(CAPA!$I$13="Rp = 0",0,IF(CAPA!$I$13="Rp &lt; RL",IF($C$16*AU26&gt;AY26,AY26,$C$16*AU26),$C$16*AU26))))</f>
        <v>354.33395221308564</v>
      </c>
      <c r="BA26" s="11">
        <f t="shared" si="17"/>
        <v>932.6383278858948</v>
      </c>
      <c r="BB26" s="11">
        <f t="shared" si="18"/>
        <v>466.3191639429474</v>
      </c>
      <c r="BD26" s="119">
        <f t="shared" si="19"/>
        <v>2685.7443609022553</v>
      </c>
      <c r="BE26" s="48">
        <f t="shared" si="30"/>
        <v>731.25127864799742</v>
      </c>
      <c r="BF26" s="12">
        <f t="shared" si="31"/>
        <v>450.79587488174633</v>
      </c>
      <c r="BG26" s="11">
        <f t="shared" si="20"/>
        <v>1182.0471535297438</v>
      </c>
      <c r="BH26" s="11">
        <f t="shared" si="40"/>
        <v>591.0235767648719</v>
      </c>
      <c r="BT26" s="7" t="s">
        <v>4</v>
      </c>
      <c r="BZ26" s="197"/>
      <c r="CA26" s="2"/>
      <c r="CD26" s="9" t="s">
        <v>136</v>
      </c>
      <c r="CF26" t="s">
        <v>104</v>
      </c>
      <c r="CG26" s="3">
        <v>160</v>
      </c>
      <c r="CH26" s="3">
        <v>210</v>
      </c>
      <c r="CI26" s="3">
        <v>210</v>
      </c>
      <c r="CJ26" s="3">
        <v>130</v>
      </c>
      <c r="CK26" s="3">
        <v>140</v>
      </c>
      <c r="CL26" s="3">
        <f t="shared" si="48"/>
        <v>130</v>
      </c>
      <c r="CM26" s="47">
        <f t="shared" si="50"/>
        <v>130</v>
      </c>
      <c r="CN26" s="47">
        <f t="shared" si="51"/>
        <v>130</v>
      </c>
      <c r="CO26" s="47">
        <f t="shared" si="52"/>
        <v>140</v>
      </c>
      <c r="CP26" s="47">
        <f t="shared" si="51"/>
        <v>130</v>
      </c>
      <c r="CQ26" s="26">
        <f t="shared" si="53"/>
        <v>210</v>
      </c>
      <c r="DH26">
        <v>-25</v>
      </c>
    </row>
    <row r="27" spans="1:112">
      <c r="B27" s="5"/>
      <c r="E27" s="2">
        <v>21</v>
      </c>
      <c r="F27" s="5" t="str">
        <f>IFERROR(LOOKUP(E27,CAPA!$C$8:$C$57,CAPA!$F$8:$F$57),"")</f>
        <v>D-areia argilosa</v>
      </c>
      <c r="G27" s="2" t="str">
        <f t="shared" si="0"/>
        <v>D</v>
      </c>
      <c r="H27" s="2" t="str">
        <f>IFERROR(LOOKUP(F27,Compatibilidade!$C$6:$C$20,Compatibilidade!$D$6:$D$20),"")</f>
        <v>C-silte arenoso</v>
      </c>
      <c r="I27" s="2" t="str">
        <f>IFERROR(LOOKUP(F27,Compatibilidade!$C$6:$C$20,Compatibilidade!$E$6:$E$20),"")</f>
        <v>B-Solos intermediários</v>
      </c>
      <c r="J27" s="2" t="str">
        <f>IFERROR(LOOKUP(F27,Compatibilidade!$C$6:$C$20,Compatibilidade!$F$6:$F$20),"")</f>
        <v>E-areia argilosa</v>
      </c>
      <c r="K27" s="124">
        <v>21</v>
      </c>
      <c r="L27" s="48">
        <f>IF(COUNTIF($BK$8:$BK$22,CAPA!F29)&gt;0,CAPA!D29,
        IF(CAPA!F29=$BK$23, IF(CAPA!$I$21="Nula",0,CAPA!D29),
             IF(CAPA!F29=$BK$24, IF(CAPA!$I$22="Negativa",-ABS(CAPA!D29),0),CAPA!D29)))</f>
        <v>28</v>
      </c>
      <c r="M27" s="48">
        <f>CAPA!E29</f>
        <v>21</v>
      </c>
      <c r="N27" s="2" t="str">
        <f t="shared" si="1"/>
        <v/>
      </c>
      <c r="O27" s="8">
        <f t="shared" si="2"/>
        <v>0.03</v>
      </c>
      <c r="P27" s="3">
        <f t="shared" si="3"/>
        <v>0.6</v>
      </c>
      <c r="Q27" s="3">
        <f t="shared" si="21"/>
        <v>1.33</v>
      </c>
      <c r="R27" s="3">
        <f t="shared" si="4"/>
        <v>2.66</v>
      </c>
      <c r="S27" s="3">
        <f t="shared" si="22"/>
        <v>189.4736842105263</v>
      </c>
      <c r="T27" s="12">
        <f t="shared" si="33"/>
        <v>11278.195488721803</v>
      </c>
      <c r="U27" s="21">
        <f t="shared" si="23"/>
        <v>25</v>
      </c>
      <c r="V27" s="21">
        <f t="shared" si="24"/>
        <v>10.25</v>
      </c>
      <c r="W27" s="3">
        <f t="shared" si="41"/>
        <v>0.81681408993334625</v>
      </c>
      <c r="X27" s="48">
        <f t="shared" si="45"/>
        <v>1133.0992450579126</v>
      </c>
      <c r="Y27" s="48">
        <f>IF(W27="#N/D",NA(),IF(CAPA!$I$13=0,$C$16*T27,IF(CAPA!$I$13="Rp = 0",0,IF(CAPA!$I$13="Rp &lt; RL",IF($C$16*T27&gt;X27,X27,$C$16*T27),$C$16*T27))))</f>
        <v>598.79228397369366</v>
      </c>
      <c r="Z27" s="48">
        <f t="shared" si="47"/>
        <v>1731.8915290316063</v>
      </c>
      <c r="AA27" s="48">
        <f t="shared" si="34"/>
        <v>911.52185738505602</v>
      </c>
      <c r="AC27" t="str">
        <f t="shared" si="6"/>
        <v/>
      </c>
      <c r="AD27" s="3">
        <f t="shared" si="7"/>
        <v>250</v>
      </c>
      <c r="AE27" s="3">
        <f t="shared" si="25"/>
        <v>1</v>
      </c>
      <c r="AF27" s="3">
        <f t="shared" si="8"/>
        <v>1</v>
      </c>
      <c r="AG27" s="3">
        <f>IF(OR(K27&lt;=C$28,AF27=""),0,IFERROR(10*((L27/3)+1),NA()))</f>
        <v>103.33333333333334</v>
      </c>
      <c r="AH27" s="12">
        <f t="shared" si="35"/>
        <v>6916.666666666667</v>
      </c>
      <c r="AI27" s="21">
        <f t="shared" si="26"/>
        <v>27.666666666666668</v>
      </c>
      <c r="AJ27" s="21">
        <f t="shared" si="10"/>
        <v>10.25</v>
      </c>
      <c r="AK27" s="3">
        <f t="shared" si="11"/>
        <v>0.81681408993334625</v>
      </c>
      <c r="AL27" s="48">
        <f t="shared" si="36"/>
        <v>721.51911277445595</v>
      </c>
      <c r="AM27" s="12">
        <f>IF(AK27="#N/D",NA(),
        IF(CAPA!$I$13=0,AE27*$C$16*AH27,
             IF(CAPA!$I$13="Rp = 0",0,
                  IF(CAPA!$I$13="Rp &lt; RL",IF(AE27*$C$16*AH27&gt;AL27,AL27,AE27*$C$16*AH27),AE27*$C$16*AH27))))</f>
        <v>367.22600126586696</v>
      </c>
      <c r="AN27" s="46">
        <f t="shared" si="49"/>
        <v>1088.745114040323</v>
      </c>
      <c r="AO27" s="46">
        <f t="shared" si="27"/>
        <v>544.37255702016148</v>
      </c>
      <c r="AQ27" t="str">
        <f t="shared" si="13"/>
        <v/>
      </c>
      <c r="AR27" s="3">
        <f t="shared" si="14"/>
        <v>300</v>
      </c>
      <c r="AS27" s="3">
        <f t="shared" si="28"/>
        <v>4</v>
      </c>
      <c r="AT27" s="19">
        <f t="shared" si="37"/>
        <v>112</v>
      </c>
      <c r="AU27" s="12">
        <f t="shared" si="38"/>
        <v>8155.3846153846162</v>
      </c>
      <c r="AV27" s="21">
        <f t="shared" si="29"/>
        <v>27.184615384615388</v>
      </c>
      <c r="AW27" s="21">
        <f t="shared" si="15"/>
        <v>10.25</v>
      </c>
      <c r="AX27" s="3">
        <f t="shared" si="16"/>
        <v>0.81681408993334625</v>
      </c>
      <c r="AY27" s="48">
        <f t="shared" si="39"/>
        <v>669.78755374534387</v>
      </c>
      <c r="AZ27" s="19">
        <f>IF(K27&lt;=$C$28,NA(),IF(CAPA!$I$13=0,$C$16*AU27,IF(CAPA!$I$13="Rp = 0",0,IF(CAPA!$I$13="Rp &lt; RL",IF($C$16*AU27&gt;AY27,AY27,$C$16*AU27),$C$16*AU27))))</f>
        <v>432.99314907366693</v>
      </c>
      <c r="BA27" s="11">
        <f t="shared" si="17"/>
        <v>1102.7807028190109</v>
      </c>
      <c r="BB27" s="11">
        <f t="shared" si="18"/>
        <v>551.39035140950546</v>
      </c>
      <c r="BD27" s="119">
        <f t="shared" si="19"/>
        <v>3090.551378446115</v>
      </c>
      <c r="BE27" s="48">
        <f t="shared" si="30"/>
        <v>841.4686371925709</v>
      </c>
      <c r="BF27" s="12">
        <f t="shared" si="31"/>
        <v>466.33714477107583</v>
      </c>
      <c r="BG27" s="11">
        <f t="shared" si="20"/>
        <v>1307.8057819636467</v>
      </c>
      <c r="BH27" s="11">
        <f t="shared" si="40"/>
        <v>653.90289098182336</v>
      </c>
      <c r="BS27" t="s">
        <v>99</v>
      </c>
      <c r="BT27" s="3">
        <v>1</v>
      </c>
      <c r="BU27" s="3">
        <v>1</v>
      </c>
      <c r="BV27" s="3">
        <v>1</v>
      </c>
      <c r="BW27" s="3">
        <v>0.8</v>
      </c>
      <c r="BX27" s="3">
        <v>1.5</v>
      </c>
      <c r="BY27" s="3">
        <v>1</v>
      </c>
      <c r="BZ27" s="111">
        <v>1</v>
      </c>
      <c r="CA27" s="3">
        <v>0.9</v>
      </c>
      <c r="CB27" s="3">
        <v>3</v>
      </c>
      <c r="CC27" s="3">
        <v>0.8</v>
      </c>
      <c r="CD27" s="23">
        <f>LOOKUP($C$5,$BT$20:$CC$20,$BT$27:$CC$27)</f>
        <v>1</v>
      </c>
      <c r="CF27" t="s">
        <v>105</v>
      </c>
      <c r="CG27" s="3">
        <v>210</v>
      </c>
      <c r="CH27" s="3">
        <v>260</v>
      </c>
      <c r="CI27" s="3">
        <v>260</v>
      </c>
      <c r="CJ27" s="3">
        <v>160</v>
      </c>
      <c r="CK27" s="3">
        <v>160</v>
      </c>
      <c r="CL27" s="3">
        <f t="shared" si="48"/>
        <v>160</v>
      </c>
      <c r="CM27" s="47">
        <f t="shared" si="50"/>
        <v>160</v>
      </c>
      <c r="CN27" s="47">
        <f t="shared" si="51"/>
        <v>160</v>
      </c>
      <c r="CO27" s="47">
        <f t="shared" si="52"/>
        <v>160</v>
      </c>
      <c r="CP27" s="47">
        <f t="shared" si="51"/>
        <v>160</v>
      </c>
      <c r="CQ27" s="26">
        <f t="shared" si="53"/>
        <v>260</v>
      </c>
      <c r="DH27">
        <v>-26</v>
      </c>
    </row>
    <row r="28" spans="1:112">
      <c r="B28" s="5" t="s">
        <v>68</v>
      </c>
      <c r="C28" s="21">
        <f>-CAPA!I14</f>
        <v>1</v>
      </c>
      <c r="E28" s="2">
        <v>22</v>
      </c>
      <c r="F28" s="5" t="str">
        <f>IFERROR(LOOKUP(E28,CAPA!$C$8:$C$57,CAPA!$F$8:$F$57),"")</f>
        <v>D-areia argilosa</v>
      </c>
      <c r="G28" s="2" t="str">
        <f t="shared" si="0"/>
        <v>D</v>
      </c>
      <c r="H28" s="2" t="str">
        <f>IFERROR(LOOKUP(F28,Compatibilidade!$C$6:$C$20,Compatibilidade!$D$6:$D$20),"")</f>
        <v>C-silte arenoso</v>
      </c>
      <c r="I28" s="2" t="str">
        <f>IFERROR(LOOKUP(F28,Compatibilidade!$C$6:$C$20,Compatibilidade!$E$6:$E$20),"")</f>
        <v>B-Solos intermediários</v>
      </c>
      <c r="J28" s="2" t="str">
        <f>IFERROR(LOOKUP(F28,Compatibilidade!$C$6:$C$20,Compatibilidade!$F$6:$F$20),"")</f>
        <v>E-areia argilosa</v>
      </c>
      <c r="K28" s="124">
        <v>22</v>
      </c>
      <c r="L28" s="48">
        <f>IF(COUNTIF($BK$8:$BK$22,CAPA!F30)&gt;0,CAPA!D30,
        IF(CAPA!F30=$BK$23, IF(CAPA!$I$21="Nula",0,CAPA!D30),
             IF(CAPA!F30=$BK$24, IF(CAPA!$I$22="Negativa",-ABS(CAPA!D30),0),CAPA!D30)))</f>
        <v>25</v>
      </c>
      <c r="M28" s="48">
        <f>CAPA!E30</f>
        <v>21</v>
      </c>
      <c r="N28" s="2" t="str">
        <f t="shared" si="1"/>
        <v/>
      </c>
      <c r="O28" s="8">
        <f t="shared" si="2"/>
        <v>0.03</v>
      </c>
      <c r="P28" s="3">
        <f t="shared" si="3"/>
        <v>0.6</v>
      </c>
      <c r="Q28" s="3">
        <f t="shared" si="21"/>
        <v>1.33</v>
      </c>
      <c r="R28" s="3">
        <f t="shared" si="4"/>
        <v>2.66</v>
      </c>
      <c r="S28" s="3">
        <f t="shared" si="22"/>
        <v>169.17293233082705</v>
      </c>
      <c r="T28" s="12">
        <f t="shared" si="33"/>
        <v>13533.834586466164</v>
      </c>
      <c r="U28" s="21">
        <f t="shared" si="23"/>
        <v>30</v>
      </c>
      <c r="V28" s="21">
        <f t="shared" si="24"/>
        <v>10.952380952380953</v>
      </c>
      <c r="W28" s="3">
        <f t="shared" si="41"/>
        <v>0.81681408993334625</v>
      </c>
      <c r="X28" s="48">
        <f t="shared" si="45"/>
        <v>1271.2820798210728</v>
      </c>
      <c r="Y28" s="48">
        <f>IF(W28="#N/D",NA(),IF(CAPA!$I$13=0,$C$16*T28,IF(CAPA!$I$13="Rp = 0",0,IF(CAPA!$I$13="Rp &lt; RL",IF($C$16*T28&gt;X28,X28,$C$16*T28),$C$16*T28))))</f>
        <v>718.55074076843243</v>
      </c>
      <c r="Z28" s="48">
        <f t="shared" si="47"/>
        <v>1989.8328205895052</v>
      </c>
      <c r="AA28" s="48">
        <f t="shared" si="34"/>
        <v>1047.2804318892133</v>
      </c>
      <c r="AC28" t="str">
        <f t="shared" si="6"/>
        <v/>
      </c>
      <c r="AD28" s="3">
        <f t="shared" si="7"/>
        <v>250</v>
      </c>
      <c r="AE28" s="3">
        <f t="shared" si="25"/>
        <v>1</v>
      </c>
      <c r="AF28" s="3">
        <f t="shared" si="8"/>
        <v>1</v>
      </c>
      <c r="AG28" s="3">
        <f>IF(OR(K28&lt;=C$28,AF28=""),0,IFERROR(10*((L28/3)+1),NA()))</f>
        <v>93.333333333333343</v>
      </c>
      <c r="AH28" s="12">
        <f t="shared" si="35"/>
        <v>7666.666666666667</v>
      </c>
      <c r="AI28" s="21">
        <f t="shared" si="26"/>
        <v>30.666666666666668</v>
      </c>
      <c r="AJ28" s="21">
        <f t="shared" si="10"/>
        <v>10.952380952380953</v>
      </c>
      <c r="AK28" s="3">
        <f t="shared" si="11"/>
        <v>0.81681408993334625</v>
      </c>
      <c r="AL28" s="48">
        <f>IF(AK28="#N/D",NA(),IFERROR(AF28*AK28*AG28+AL27,IFERROR(AF28*AK28*AG28,NA())))</f>
        <v>797.75509450156824</v>
      </c>
      <c r="AM28" s="12">
        <f>IF(AK28="#N/D",NA(),
        IF(CAPA!$I$13=0,AE28*$C$16*AH28,
             IF(CAPA!$I$13="Rp = 0",0,
                  IF(CAPA!$I$13="Rp &lt; RL",IF(AE28*$C$16*AH28&gt;AL28,AL28,AE28*$C$16*AH28),AE28*$C$16*AH28))))</f>
        <v>407.0456881501176</v>
      </c>
      <c r="AN28" s="46">
        <f t="shared" si="49"/>
        <v>1204.8007826516859</v>
      </c>
      <c r="AO28" s="46">
        <f t="shared" si="27"/>
        <v>602.40039132584297</v>
      </c>
      <c r="AQ28" t="str">
        <f t="shared" si="13"/>
        <v/>
      </c>
      <c r="AR28" s="3">
        <f t="shared" si="14"/>
        <v>300</v>
      </c>
      <c r="AS28" s="3">
        <f t="shared" si="28"/>
        <v>4</v>
      </c>
      <c r="AT28" s="19">
        <f t="shared" si="37"/>
        <v>100</v>
      </c>
      <c r="AU28" s="12">
        <f t="shared" si="38"/>
        <v>7827.6923076923076</v>
      </c>
      <c r="AV28" s="21">
        <f t="shared" si="29"/>
        <v>26.092307692307692</v>
      </c>
      <c r="AW28" s="21">
        <f t="shared" si="15"/>
        <v>10.952380952380953</v>
      </c>
      <c r="AX28" s="3">
        <f t="shared" si="16"/>
        <v>0.81681408993334625</v>
      </c>
      <c r="AY28" s="48">
        <f t="shared" si="39"/>
        <v>751.46896273867856</v>
      </c>
      <c r="AZ28" s="19">
        <f>IF(K28&lt;=$C$28,NA(),IF(CAPA!$I$13=0,$C$16*AU28,IF(CAPA!$I$13="Rp = 0",0,IF(CAPA!$I$13="Rp &lt; RL",IF($C$16*AU28&gt;AY28,AY28,$C$16*AU28),$C$16*AU28))))</f>
        <v>415.59500895808662</v>
      </c>
      <c r="BA28" s="11">
        <f t="shared" si="17"/>
        <v>1167.0639716967653</v>
      </c>
      <c r="BB28" s="11">
        <f t="shared" si="18"/>
        <v>583.53198584838265</v>
      </c>
      <c r="BD28" s="119">
        <f t="shared" si="19"/>
        <v>3453.0576441102758</v>
      </c>
      <c r="BE28" s="48">
        <f t="shared" si="30"/>
        <v>940.16871235377312</v>
      </c>
      <c r="BF28" s="12">
        <f t="shared" si="31"/>
        <v>513.73047929221218</v>
      </c>
      <c r="BG28" s="11">
        <f t="shared" si="20"/>
        <v>1453.8991916459854</v>
      </c>
      <c r="BH28" s="11">
        <f t="shared" si="40"/>
        <v>726.94959582299271</v>
      </c>
      <c r="BS28" t="s">
        <v>100</v>
      </c>
      <c r="BT28" s="3">
        <v>1</v>
      </c>
      <c r="BU28" s="3">
        <v>1</v>
      </c>
      <c r="BV28" s="3">
        <v>1</v>
      </c>
      <c r="BW28" s="3">
        <v>0.65</v>
      </c>
      <c r="BX28" s="3">
        <v>1.5</v>
      </c>
      <c r="BY28" s="3">
        <v>1</v>
      </c>
      <c r="BZ28" s="111">
        <v>1</v>
      </c>
      <c r="CA28" s="3">
        <v>0.75</v>
      </c>
      <c r="CB28" s="3">
        <v>3</v>
      </c>
      <c r="CC28" s="3">
        <v>0.65</v>
      </c>
      <c r="CD28" s="23">
        <f>LOOKUP($C$5,$BT$20:$CC$20,$BT$28:$CC$28)</f>
        <v>1</v>
      </c>
      <c r="CF28" t="str">
        <f>"E-areia argilosa"</f>
        <v>E-areia argilosa</v>
      </c>
      <c r="CG28" s="3">
        <v>240</v>
      </c>
      <c r="CH28" s="3">
        <v>300</v>
      </c>
      <c r="CI28" s="3">
        <v>300</v>
      </c>
      <c r="CJ28" s="3">
        <v>200</v>
      </c>
      <c r="CK28" s="3">
        <v>190</v>
      </c>
      <c r="CL28" s="3">
        <f t="shared" si="48"/>
        <v>200</v>
      </c>
      <c r="CM28" s="47">
        <f t="shared" si="50"/>
        <v>200</v>
      </c>
      <c r="CN28" s="47">
        <f t="shared" si="51"/>
        <v>200</v>
      </c>
      <c r="CO28" s="47">
        <f t="shared" si="52"/>
        <v>190</v>
      </c>
      <c r="CP28" s="47">
        <f t="shared" si="51"/>
        <v>200</v>
      </c>
      <c r="CQ28" s="26">
        <f t="shared" si="53"/>
        <v>300</v>
      </c>
      <c r="DH28">
        <v>-27</v>
      </c>
    </row>
    <row r="29" spans="1:112">
      <c r="B29" s="5" t="s">
        <v>69</v>
      </c>
      <c r="C29" s="21">
        <f>-CAPA!I15</f>
        <v>13</v>
      </c>
      <c r="E29" s="2">
        <v>23</v>
      </c>
      <c r="F29" s="5" t="str">
        <f>IFERROR(LOOKUP(E29,CAPA!$C$8:$C$57,CAPA!$F$8:$F$57),"")</f>
        <v>D-areia argilosa</v>
      </c>
      <c r="G29" s="2" t="str">
        <f t="shared" si="0"/>
        <v>D</v>
      </c>
      <c r="H29" s="2" t="str">
        <f>IFERROR(LOOKUP(F29,Compatibilidade!$C$6:$C$20,Compatibilidade!$D$6:$D$20),"")</f>
        <v>C-silte arenoso</v>
      </c>
      <c r="I29" s="2" t="str">
        <f>IFERROR(LOOKUP(F29,Compatibilidade!$C$6:$C$20,Compatibilidade!$E$6:$E$20),"")</f>
        <v>B-Solos intermediários</v>
      </c>
      <c r="J29" s="2" t="str">
        <f>IFERROR(LOOKUP(F29,Compatibilidade!$C$6:$C$20,Compatibilidade!$F$6:$F$20),"")</f>
        <v>E-areia argilosa</v>
      </c>
      <c r="K29" s="124">
        <v>23</v>
      </c>
      <c r="L29" s="48">
        <f>IF(COUNTIF($BK$8:$BK$22,CAPA!F31)&gt;0,CAPA!D31,
        IF(CAPA!F31=$BK$23, IF(CAPA!$I$21="Nula",0,CAPA!D31),
             IF(CAPA!F31=$BK$24, IF(CAPA!$I$22="Negativa",-ABS(CAPA!D31),0),CAPA!D31)))</f>
        <v>30</v>
      </c>
      <c r="M29" s="48">
        <f>CAPA!E31</f>
        <v>21</v>
      </c>
      <c r="N29" s="2" t="str">
        <f t="shared" si="1"/>
        <v/>
      </c>
      <c r="O29" s="8">
        <f t="shared" si="2"/>
        <v>0.03</v>
      </c>
      <c r="P29" s="3">
        <f t="shared" si="3"/>
        <v>0.6</v>
      </c>
      <c r="Q29" s="3">
        <f t="shared" si="21"/>
        <v>1.33</v>
      </c>
      <c r="R29" s="3">
        <f t="shared" si="4"/>
        <v>2.66</v>
      </c>
      <c r="S29" s="3">
        <f t="shared" si="22"/>
        <v>203.00751879699246</v>
      </c>
      <c r="T29" s="12">
        <f t="shared" si="33"/>
        <v>16691.729323308271</v>
      </c>
      <c r="U29" s="21">
        <f t="shared" si="23"/>
        <v>37</v>
      </c>
      <c r="V29" s="21">
        <f t="shared" si="24"/>
        <v>11.818181818181818</v>
      </c>
      <c r="W29" s="3">
        <f t="shared" si="41"/>
        <v>0.81681408993334625</v>
      </c>
      <c r="X29" s="48">
        <f t="shared" si="45"/>
        <v>1437.1014815368649</v>
      </c>
      <c r="Y29" s="48">
        <f>IF(W29="#N/D",NA(),IF(CAPA!$I$13=0,$C$16*T29,IF(CAPA!$I$13="Rp = 0",0,IF(CAPA!$I$13="Rp &lt; RL",IF($C$16*T29&gt;X29,X29,$C$16*T29),$C$16*T29))))</f>
        <v>886.21258028106672</v>
      </c>
      <c r="Z29" s="48">
        <f t="shared" ref="Z29:Z35" si="54">IF(O29="",NA(),IF(W29="#N/D",NA(),X29+Y29))</f>
        <v>2323.3140618179314</v>
      </c>
      <c r="AA29" s="48">
        <f t="shared" si="34"/>
        <v>1222.7968746410165</v>
      </c>
      <c r="AC29" t="str">
        <f t="shared" si="6"/>
        <v/>
      </c>
      <c r="AD29" s="3">
        <f t="shared" si="7"/>
        <v>250</v>
      </c>
      <c r="AE29" s="3">
        <f t="shared" si="25"/>
        <v>1</v>
      </c>
      <c r="AF29" s="3">
        <f t="shared" si="8"/>
        <v>1</v>
      </c>
      <c r="AG29" s="3">
        <f t="shared" ref="AG29:AG56" si="55">IF(OR(K29&lt;=C$28,AF29=""),0,IFERROR(10*((L29/3)+1),NA()))</f>
        <v>110</v>
      </c>
      <c r="AH29" s="12">
        <f t="shared" si="35"/>
        <v>5583.333333333333</v>
      </c>
      <c r="AI29" s="21">
        <f t="shared" si="26"/>
        <v>22.333333333333332</v>
      </c>
      <c r="AJ29" s="21">
        <f t="shared" si="10"/>
        <v>11.818181818181818</v>
      </c>
      <c r="AK29" s="3">
        <f t="shared" si="11"/>
        <v>0.81681408993334625</v>
      </c>
      <c r="AL29" s="48">
        <f>IF(AK29="#N/D",NA(),IFERROR(AF29*AK29*AG29+AL28,IFERROR(AF29*AK29*AG29,NA())))</f>
        <v>887.60464439423629</v>
      </c>
      <c r="AM29" s="12">
        <f>IF(AK29="#N/D",NA(),
        IF(CAPA!$I$13=0,AE29*$C$16*AH29,
             IF(CAPA!$I$13="Rp = 0",0,
                  IF(CAPA!$I$13="Rp &lt; RL",IF(AE29*$C$16*AH29&gt;AL29,AL29,AE29*$C$16*AH29),AE29*$C$16*AH29))))</f>
        <v>296.43544680497695</v>
      </c>
      <c r="AN29" s="46">
        <f t="shared" si="49"/>
        <v>1184.0400911992133</v>
      </c>
      <c r="AO29" s="46">
        <f t="shared" si="27"/>
        <v>592.02004559960665</v>
      </c>
      <c r="AQ29" t="str">
        <f t="shared" si="13"/>
        <v/>
      </c>
      <c r="AR29" s="3">
        <f t="shared" si="14"/>
        <v>300</v>
      </c>
      <c r="AS29" s="3">
        <f t="shared" si="28"/>
        <v>4</v>
      </c>
      <c r="AT29" s="19">
        <f t="shared" si="37"/>
        <v>120</v>
      </c>
      <c r="AU29" s="12">
        <f t="shared" si="38"/>
        <v>9373.8461538461543</v>
      </c>
      <c r="AV29" s="21">
        <f t="shared" si="29"/>
        <v>31.246153846153849</v>
      </c>
      <c r="AW29" s="21">
        <f t="shared" si="15"/>
        <v>11.818181818181818</v>
      </c>
      <c r="AX29" s="3">
        <f t="shared" si="16"/>
        <v>0.81681408993334625</v>
      </c>
      <c r="AY29" s="48">
        <f t="shared" si="39"/>
        <v>849.48665353068009</v>
      </c>
      <c r="AZ29" s="19">
        <f>IF(K29&lt;=$C$28,NA(),IF(CAPA!$I$13=0,$C$16*AU29,IF(CAPA!$I$13="Rp = 0",0,IF(CAPA!$I$13="Rp &lt; RL",IF($C$16*AU29&gt;AY29,AY29,$C$16*AU29),$C$16*AU29))))</f>
        <v>497.68482499638793</v>
      </c>
      <c r="BA29" s="11">
        <f t="shared" si="17"/>
        <v>1347.1714785270681</v>
      </c>
      <c r="BB29" s="11">
        <f t="shared" si="18"/>
        <v>673.58573926353404</v>
      </c>
      <c r="BD29" s="119">
        <f t="shared" si="19"/>
        <v>3886.0651629072681</v>
      </c>
      <c r="BE29" s="48">
        <f t="shared" si="30"/>
        <v>1058.0642598205939</v>
      </c>
      <c r="BF29" s="12">
        <f t="shared" si="31"/>
        <v>560.11095069414387</v>
      </c>
      <c r="BG29" s="11">
        <f t="shared" si="20"/>
        <v>1618.1752105147377</v>
      </c>
      <c r="BH29" s="11">
        <f t="shared" si="40"/>
        <v>809.08760525736886</v>
      </c>
      <c r="BS29" t="s">
        <v>101</v>
      </c>
      <c r="BT29" s="3">
        <v>1</v>
      </c>
      <c r="BU29" s="3">
        <v>1</v>
      </c>
      <c r="BV29" s="3">
        <v>1</v>
      </c>
      <c r="BW29" s="3">
        <v>0.5</v>
      </c>
      <c r="BX29" s="3">
        <v>1.5</v>
      </c>
      <c r="BY29" s="3">
        <v>1</v>
      </c>
      <c r="BZ29" s="111">
        <v>1</v>
      </c>
      <c r="CA29" s="3">
        <v>0.6</v>
      </c>
      <c r="CB29" s="3">
        <v>3</v>
      </c>
      <c r="CC29" s="3">
        <v>0.5</v>
      </c>
      <c r="CD29" s="23">
        <f>LOOKUP($C$5,$BT$20:$CC$20,$BT$29:$CC$29)</f>
        <v>1</v>
      </c>
      <c r="CF29" t="s">
        <v>107</v>
      </c>
      <c r="CG29" s="3">
        <v>300</v>
      </c>
      <c r="CH29" s="3">
        <v>360</v>
      </c>
      <c r="CI29" s="3">
        <v>360</v>
      </c>
      <c r="CJ29" s="3">
        <v>240</v>
      </c>
      <c r="CK29" s="3">
        <v>220</v>
      </c>
      <c r="CL29" s="3">
        <f t="shared" si="48"/>
        <v>240</v>
      </c>
      <c r="CM29" s="47">
        <f t="shared" si="50"/>
        <v>240</v>
      </c>
      <c r="CN29" s="47">
        <f t="shared" si="51"/>
        <v>240</v>
      </c>
      <c r="CO29" s="47">
        <f t="shared" si="52"/>
        <v>220</v>
      </c>
      <c r="CP29" s="47">
        <f t="shared" si="51"/>
        <v>240</v>
      </c>
      <c r="CQ29" s="26">
        <f t="shared" si="53"/>
        <v>360</v>
      </c>
      <c r="CS29" t="s">
        <v>79</v>
      </c>
      <c r="CT29" s="2" t="s">
        <v>20</v>
      </c>
      <c r="DH29">
        <v>-28</v>
      </c>
    </row>
    <row r="30" spans="1:112">
      <c r="B30" s="5" t="s">
        <v>131</v>
      </c>
      <c r="C30" s="21">
        <f>C29-C28</f>
        <v>12</v>
      </c>
      <c r="E30" s="2">
        <v>24</v>
      </c>
      <c r="F30" s="5" t="str">
        <f>IFERROR(LOOKUP(E30,CAPA!$C$8:$C$57,CAPA!$F$8:$F$57),"")</f>
        <v>D-areia argilosa</v>
      </c>
      <c r="G30" s="2" t="str">
        <f t="shared" si="0"/>
        <v>D</v>
      </c>
      <c r="H30" s="2" t="str">
        <f>IFERROR(LOOKUP(F30,Compatibilidade!$C$6:$C$20,Compatibilidade!$D$6:$D$20),"")</f>
        <v>C-silte arenoso</v>
      </c>
      <c r="I30" s="2" t="str">
        <f>IFERROR(LOOKUP(F30,Compatibilidade!$C$6:$C$20,Compatibilidade!$E$6:$E$20),"")</f>
        <v>B-Solos intermediários</v>
      </c>
      <c r="J30" s="2" t="str">
        <f>IFERROR(LOOKUP(F30,Compatibilidade!$C$6:$C$20,Compatibilidade!$F$6:$F$20),"")</f>
        <v>E-areia argilosa</v>
      </c>
      <c r="K30" s="124">
        <v>24</v>
      </c>
      <c r="L30" s="48">
        <f>IF(COUNTIF($BK$8:$BK$22,CAPA!F32)&gt;0,CAPA!D32,
        IF(CAPA!F32=$BK$23, IF(CAPA!$I$21="Nula",0,CAPA!D32),
             IF(CAPA!F32=$BK$24, IF(CAPA!$I$22="Negativa",-ABS(CAPA!D32),0),CAPA!D32)))</f>
        <v>37</v>
      </c>
      <c r="M30" s="48">
        <f>CAPA!E32</f>
        <v>21</v>
      </c>
      <c r="N30" s="2" t="str">
        <f t="shared" si="1"/>
        <v/>
      </c>
      <c r="O30" s="8">
        <f t="shared" si="2"/>
        <v>0.03</v>
      </c>
      <c r="P30" s="3">
        <f t="shared" si="3"/>
        <v>0.6</v>
      </c>
      <c r="Q30" s="3">
        <f t="shared" si="21"/>
        <v>1.33</v>
      </c>
      <c r="R30" s="3">
        <f t="shared" si="4"/>
        <v>2.66</v>
      </c>
      <c r="S30" s="3">
        <f t="shared" si="22"/>
        <v>250.37593984962405</v>
      </c>
      <c r="T30" s="12">
        <f t="shared" si="33"/>
        <v>0</v>
      </c>
      <c r="U30" s="21">
        <f t="shared" si="23"/>
        <v>0</v>
      </c>
      <c r="V30" s="21">
        <f t="shared" si="24"/>
        <v>12.913043478260869</v>
      </c>
      <c r="W30" s="3">
        <f t="shared" si="41"/>
        <v>0.81681408993334625</v>
      </c>
      <c r="X30" s="48">
        <f t="shared" si="45"/>
        <v>1641.6120769863419</v>
      </c>
      <c r="Y30" s="48">
        <f>IF(W30="#N/D",NA(),IF(CAPA!$I$13=0,$C$16*T30,IF(CAPA!$I$13="Rp = 0",0,IF(CAPA!$I$13="Rp &lt; RL",IF($C$16*T30&gt;X30,X30,$C$16*T30),$C$16*T30))))</f>
        <v>0</v>
      </c>
      <c r="Z30" s="48">
        <f t="shared" si="54"/>
        <v>1641.6120769863419</v>
      </c>
      <c r="AA30" s="48">
        <f t="shared" si="34"/>
        <v>864.00635630860108</v>
      </c>
      <c r="AC30" t="str">
        <f t="shared" si="6"/>
        <v/>
      </c>
      <c r="AD30" s="3">
        <f t="shared" si="7"/>
        <v>250</v>
      </c>
      <c r="AE30" s="3">
        <f t="shared" si="25"/>
        <v>1</v>
      </c>
      <c r="AF30" s="3">
        <f t="shared" si="8"/>
        <v>1</v>
      </c>
      <c r="AG30" s="3">
        <f t="shared" si="55"/>
        <v>133.33333333333334</v>
      </c>
      <c r="AH30" s="12">
        <f t="shared" si="35"/>
        <v>3083.3333333333335</v>
      </c>
      <c r="AI30" s="21">
        <f t="shared" si="26"/>
        <v>12.333333333333334</v>
      </c>
      <c r="AJ30" s="21">
        <f t="shared" si="10"/>
        <v>12.913043478260869</v>
      </c>
      <c r="AK30" s="3">
        <f t="shared" si="11"/>
        <v>0.81681408993334625</v>
      </c>
      <c r="AL30" s="48">
        <f>IF(AK30="#N/D",NA(),IFERROR(AF30*AK30*AG30+AL29,IFERROR(AF30*AK30*AG30,NA())))</f>
        <v>996.5131897186825</v>
      </c>
      <c r="AM30" s="12">
        <f>IF(AK30="#N/D",NA(),
        IF(CAPA!$I$13=0,AE30*$C$16*AH30,
             IF(CAPA!$I$13="Rp = 0",0,
                  IF(CAPA!$I$13="Rp &lt; RL",IF(AE30*$C$16*AH30&gt;AL30,AL30,AE30*$C$16*AH30),AE30*$C$16*AH30))))</f>
        <v>163.70315719080818</v>
      </c>
      <c r="AN30" s="46">
        <f t="shared" si="49"/>
        <v>1160.2163469094908</v>
      </c>
      <c r="AO30" s="46">
        <f t="shared" si="27"/>
        <v>580.10817345474538</v>
      </c>
      <c r="AQ30" t="str">
        <f t="shared" si="13"/>
        <v/>
      </c>
      <c r="AR30" s="3">
        <f t="shared" si="14"/>
        <v>300</v>
      </c>
      <c r="AS30" s="3">
        <f t="shared" si="28"/>
        <v>4</v>
      </c>
      <c r="AT30" s="19">
        <f t="shared" si="37"/>
        <v>148</v>
      </c>
      <c r="AU30" s="12">
        <f t="shared" si="38"/>
        <v>8815.3846153846152</v>
      </c>
      <c r="AV30" s="21">
        <f t="shared" si="29"/>
        <v>29.384615384615387</v>
      </c>
      <c r="AW30" s="21">
        <f t="shared" si="15"/>
        <v>12.913043478260869</v>
      </c>
      <c r="AX30" s="3">
        <f t="shared" si="16"/>
        <v>0.81681408993334625</v>
      </c>
      <c r="AY30" s="48">
        <f t="shared" si="39"/>
        <v>970.37513884081534</v>
      </c>
      <c r="AZ30" s="19">
        <f>IF(K30&lt;=$C$28,NA(),IF(CAPA!$I$13=0,$C$16*AU30,IF(CAPA!$I$13="Rp = 0",0,IF(CAPA!$I$13="Rp &lt; RL",IF($C$16*AU30&gt;AY30,AY30,$C$16*AU30),$C$16*AU30))))</f>
        <v>468.03447353180746</v>
      </c>
      <c r="BA30" s="11">
        <f t="shared" si="17"/>
        <v>1438.4096123726229</v>
      </c>
      <c r="BB30" s="11">
        <f t="shared" si="18"/>
        <v>719.20480618631143</v>
      </c>
      <c r="BD30" s="119">
        <f t="shared" si="19"/>
        <v>4417.7744360902261</v>
      </c>
      <c r="BE30" s="48">
        <f t="shared" si="30"/>
        <v>1202.8334685152799</v>
      </c>
      <c r="BF30" s="12">
        <f t="shared" si="31"/>
        <v>210.5792102408719</v>
      </c>
      <c r="BG30" s="11">
        <f t="shared" si="20"/>
        <v>1413.412678756152</v>
      </c>
      <c r="BH30" s="11">
        <f t="shared" si="40"/>
        <v>706.706339378076</v>
      </c>
      <c r="CA30" s="3"/>
      <c r="CF30" t="s">
        <v>108</v>
      </c>
      <c r="CG30" s="3">
        <v>340</v>
      </c>
      <c r="CH30" s="3">
        <v>400</v>
      </c>
      <c r="CI30" s="3">
        <v>400</v>
      </c>
      <c r="CJ30" s="3">
        <v>270</v>
      </c>
      <c r="CK30" s="3">
        <v>260</v>
      </c>
      <c r="CL30" s="3">
        <f t="shared" si="48"/>
        <v>270</v>
      </c>
      <c r="CM30" s="47">
        <f t="shared" si="50"/>
        <v>270</v>
      </c>
      <c r="CN30" s="47">
        <f t="shared" si="51"/>
        <v>270</v>
      </c>
      <c r="CO30" s="47">
        <f t="shared" si="52"/>
        <v>260</v>
      </c>
      <c r="CP30" s="47">
        <f t="shared" si="51"/>
        <v>270</v>
      </c>
      <c r="CQ30" s="26">
        <f t="shared" si="53"/>
        <v>400</v>
      </c>
      <c r="CS30" t="s">
        <v>87</v>
      </c>
      <c r="CT30" s="2" t="s">
        <v>21</v>
      </c>
      <c r="DH30">
        <v>-29</v>
      </c>
    </row>
    <row r="31" spans="1:112" ht="15.75" thickBot="1">
      <c r="E31" s="2">
        <v>25</v>
      </c>
      <c r="F31" s="5">
        <f>IFERROR(LOOKUP(E31,CAPA!$C$8:$C$57,CAPA!$F$8:$F$57),"")</f>
        <v>0</v>
      </c>
      <c r="G31" s="2" t="str">
        <f t="shared" si="0"/>
        <v/>
      </c>
      <c r="H31" s="2" t="str">
        <f>IFERROR(LOOKUP(F31,Compatibilidade!$C$6:$C$20,Compatibilidade!$D$6:$D$20),"")</f>
        <v/>
      </c>
      <c r="I31" s="2" t="str">
        <f>IFERROR(LOOKUP(F31,Compatibilidade!$C$6:$C$20,Compatibilidade!$E$6:$E$20),"")</f>
        <v/>
      </c>
      <c r="J31" s="2" t="str">
        <f>IFERROR(LOOKUP(F31,Compatibilidade!$C$6:$C$20,Compatibilidade!$F$6:$F$20),"")</f>
        <v/>
      </c>
      <c r="K31" s="124">
        <v>25</v>
      </c>
      <c r="L31" s="48">
        <f>IF(COUNTIF($BK$8:$BK$22,CAPA!F33)&gt;0,CAPA!D33,
        IF(CAPA!F33=$BK$23, IF(CAPA!$I$21="Nula",0,CAPA!D33),
             IF(CAPA!F33=$BK$24, IF(CAPA!$I$22="Negativa",-ABS(CAPA!D33),0),CAPA!D33)))</f>
        <v>0</v>
      </c>
      <c r="M31" s="48">
        <f>CAPA!E33</f>
        <v>0</v>
      </c>
      <c r="N31" s="2" t="str">
        <f t="shared" si="1"/>
        <v/>
      </c>
      <c r="O31" s="8" t="str">
        <f t="shared" si="2"/>
        <v/>
      </c>
      <c r="P31" s="3" t="str">
        <f t="shared" si="3"/>
        <v/>
      </c>
      <c r="Q31" s="3">
        <f t="shared" si="21"/>
        <v>1.33</v>
      </c>
      <c r="R31" s="3">
        <f t="shared" si="4"/>
        <v>2.66</v>
      </c>
      <c r="S31" s="3">
        <f t="shared" si="22"/>
        <v>0</v>
      </c>
      <c r="T31" s="12">
        <f t="shared" si="33"/>
        <v>0</v>
      </c>
      <c r="U31" s="21">
        <f t="shared" si="23"/>
        <v>0</v>
      </c>
      <c r="V31" s="21">
        <f t="shared" si="24"/>
        <v>12.375</v>
      </c>
      <c r="W31" s="3">
        <f t="shared" si="41"/>
        <v>0.81681408993334625</v>
      </c>
      <c r="X31" s="48">
        <f t="shared" si="45"/>
        <v>1641.6120769863419</v>
      </c>
      <c r="Y31" s="48">
        <f>IF(W31="#N/D",NA(),IF(CAPA!$I$13=0,$C$16*T31,IF(CAPA!$I$13="Rp = 0",0,IF(CAPA!$I$13="Rp &lt; RL",IF($C$16*T31&gt;X31,X31,$C$16*T31),$C$16*T31))))</f>
        <v>0</v>
      </c>
      <c r="Z31" s="48" t="e">
        <f t="shared" si="54"/>
        <v>#N/A</v>
      </c>
      <c r="AA31" s="48" t="e">
        <f>IFERROR(IF(O31="",NA(),Z31/$D$26),NA())</f>
        <v>#N/A</v>
      </c>
      <c r="AC31" t="str">
        <f t="shared" si="6"/>
        <v/>
      </c>
      <c r="AD31" s="3" t="str">
        <f t="shared" si="7"/>
        <v/>
      </c>
      <c r="AE31" s="3" t="str">
        <f t="shared" si="25"/>
        <v/>
      </c>
      <c r="AF31" s="3" t="str">
        <f t="shared" si="8"/>
        <v/>
      </c>
      <c r="AG31" s="3">
        <f t="shared" si="55"/>
        <v>0</v>
      </c>
      <c r="AH31" s="12">
        <f t="shared" si="35"/>
        <v>0</v>
      </c>
      <c r="AI31" s="21">
        <f t="shared" si="26"/>
        <v>0</v>
      </c>
      <c r="AJ31" s="21">
        <f t="shared" si="10"/>
        <v>12.375</v>
      </c>
      <c r="AK31" s="3">
        <f t="shared" si="11"/>
        <v>0.81681408993334625</v>
      </c>
      <c r="AL31" s="48" t="e">
        <f>IF(AK31="#N/D",NA(),IFERROR(AF31*AK31*AG31+AL30,IFERROR(AF31*AK31*AG31,NA())))</f>
        <v>#N/A</v>
      </c>
      <c r="AM31" s="12" t="e">
        <f>IF(AK31="#N/D",NA(),
        IF(CAPA!$I$13=0,AE31*$C$16*AH31,
             IF(CAPA!$I$13="Rp = 0",0,
                  IF(CAPA!$I$13="Rp &lt; RL",IF(AE31*$C$16*AH31&gt;AL31,AL31,AE31*$C$16*AH31),AE31*$C$16*AH31))))</f>
        <v>#VALUE!</v>
      </c>
      <c r="AN31" s="46" t="e">
        <f t="shared" si="49"/>
        <v>#N/A</v>
      </c>
      <c r="AO31" s="46" t="e">
        <f t="shared" si="27"/>
        <v>#N/A</v>
      </c>
      <c r="AQ31" t="str">
        <f t="shared" si="13"/>
        <v/>
      </c>
      <c r="AR31" s="3" t="str">
        <f t="shared" si="14"/>
        <v/>
      </c>
      <c r="AS31" s="3">
        <f t="shared" si="28"/>
        <v>4</v>
      </c>
      <c r="AT31" s="19">
        <f>IFERROR(AS31*L31,"")</f>
        <v>0</v>
      </c>
      <c r="AU31" s="12">
        <f t="shared" si="38"/>
        <v>0</v>
      </c>
      <c r="AV31" s="21">
        <f t="shared" si="29"/>
        <v>1.1384615384615395</v>
      </c>
      <c r="AW31" s="21">
        <f t="shared" si="15"/>
        <v>12.375</v>
      </c>
      <c r="AX31" s="3">
        <f t="shared" si="16"/>
        <v>0.81681408993334625</v>
      </c>
      <c r="AY31" s="48">
        <f t="shared" si="39"/>
        <v>970.37513884081534</v>
      </c>
      <c r="AZ31" s="19">
        <f>IF(K31&lt;=$C$28,NA(),IF(CAPA!$I$13=0,$C$16*AU31,IF(CAPA!$I$13="Rp = 0",0,IF(CAPA!$I$13="Rp &lt; RL",IF($C$16*AU31&gt;AY31,AY31,$C$16*AU31),$C$16*AU31))))</f>
        <v>0</v>
      </c>
      <c r="BA31" s="11" t="e">
        <f t="shared" si="17"/>
        <v>#N/A</v>
      </c>
      <c r="BB31" s="11" t="e">
        <f t="shared" si="18"/>
        <v>#N/A</v>
      </c>
      <c r="BD31" s="2" t="e">
        <f t="shared" si="19"/>
        <v>#N/A</v>
      </c>
      <c r="BE31" s="48" t="e">
        <f t="shared" si="30"/>
        <v>#N/A</v>
      </c>
      <c r="BF31" s="12" t="e">
        <f t="shared" si="31"/>
        <v>#VALUE!</v>
      </c>
      <c r="BG31" s="11" t="e">
        <f t="shared" si="20"/>
        <v>#N/A</v>
      </c>
      <c r="BH31" s="11" t="e">
        <f t="shared" si="40"/>
        <v>#N/A</v>
      </c>
      <c r="CF31" s="179" t="s">
        <v>109</v>
      </c>
      <c r="CG31" s="200">
        <v>380</v>
      </c>
      <c r="CH31" s="200">
        <v>440</v>
      </c>
      <c r="CI31" s="200">
        <v>440</v>
      </c>
      <c r="CJ31" s="200">
        <v>310</v>
      </c>
      <c r="CK31" s="200">
        <v>290</v>
      </c>
      <c r="CL31" s="200">
        <f t="shared" si="48"/>
        <v>310</v>
      </c>
      <c r="CM31" s="47">
        <f t="shared" si="50"/>
        <v>310</v>
      </c>
      <c r="CN31" s="47">
        <f t="shared" si="51"/>
        <v>310</v>
      </c>
      <c r="CO31" s="47">
        <f t="shared" si="52"/>
        <v>290</v>
      </c>
      <c r="CP31" s="47">
        <f t="shared" si="51"/>
        <v>310</v>
      </c>
      <c r="CQ31" s="26">
        <f t="shared" si="53"/>
        <v>440</v>
      </c>
      <c r="CS31" t="s">
        <v>88</v>
      </c>
      <c r="CT31" s="2" t="s">
        <v>22</v>
      </c>
      <c r="DH31">
        <v>-30</v>
      </c>
    </row>
    <row r="32" spans="1:112">
      <c r="A32" t="s">
        <v>138</v>
      </c>
      <c r="B32" s="2" t="s">
        <v>156</v>
      </c>
      <c r="C32" s="3">
        <f>LOOKUP((C29),E7:E56,U7:U56)</f>
        <v>14</v>
      </c>
      <c r="E32" s="2">
        <v>26</v>
      </c>
      <c r="F32" s="5">
        <f>IFERROR(LOOKUP(E32,CAPA!$C$8:$C$57,CAPA!$F$8:$F$57),"")</f>
        <v>0</v>
      </c>
      <c r="G32" s="2" t="str">
        <f t="shared" si="0"/>
        <v/>
      </c>
      <c r="H32" s="2" t="str">
        <f>IFERROR(LOOKUP(F32,Compatibilidade!$C$6:$C$20,Compatibilidade!$D$6:$D$20),"")</f>
        <v/>
      </c>
      <c r="I32" s="2" t="str">
        <f>IFERROR(LOOKUP(F32,Compatibilidade!$C$6:$C$20,Compatibilidade!$E$6:$E$20),"")</f>
        <v/>
      </c>
      <c r="J32" s="2" t="str">
        <f>IFERROR(LOOKUP(F32,Compatibilidade!$C$6:$C$20,Compatibilidade!$F$6:$F$20),"")</f>
        <v/>
      </c>
      <c r="K32" s="124">
        <v>26</v>
      </c>
      <c r="L32" s="48">
        <f>IF(COUNTIF($BK$8:$BK$22,CAPA!F34)&gt;0,CAPA!D34,
        IF(CAPA!F34=$BK$23, IF(CAPA!$I$21="Nula",0,CAPA!D34),
             IF(CAPA!F34=$BK$24, IF(CAPA!$I$22="Negativa",-ABS(CAPA!D34),0),CAPA!D34)))</f>
        <v>0</v>
      </c>
      <c r="M32" s="48">
        <f>CAPA!E34</f>
        <v>0</v>
      </c>
      <c r="N32" s="2" t="str">
        <f t="shared" si="1"/>
        <v/>
      </c>
      <c r="O32" s="8" t="str">
        <f t="shared" si="2"/>
        <v/>
      </c>
      <c r="P32" s="3" t="str">
        <f t="shared" si="3"/>
        <v/>
      </c>
      <c r="Q32" s="3">
        <f t="shared" si="21"/>
        <v>1.33</v>
      </c>
      <c r="R32" s="3">
        <f t="shared" si="4"/>
        <v>2.66</v>
      </c>
      <c r="S32" s="3">
        <f t="shared" si="22"/>
        <v>0</v>
      </c>
      <c r="T32" s="12">
        <f t="shared" si="33"/>
        <v>0</v>
      </c>
      <c r="U32" s="21">
        <f t="shared" si="23"/>
        <v>0</v>
      </c>
      <c r="V32" s="21">
        <f t="shared" si="24"/>
        <v>11.88</v>
      </c>
      <c r="W32" s="3">
        <f t="shared" si="41"/>
        <v>0.81681408993334625</v>
      </c>
      <c r="X32" s="48">
        <f t="shared" si="45"/>
        <v>1641.6120769863419</v>
      </c>
      <c r="Y32" s="48">
        <f>IF(W32="#N/D",NA(),IF(CAPA!$I$13=0,$C$16*T32,IF(CAPA!$I$13="Rp = 0",0,IF(CAPA!$I$13="Rp &lt; RL",IF($C$16*T32&gt;X32,X32,$C$16*T32),$C$16*T32))))</f>
        <v>0</v>
      </c>
      <c r="Z32" s="48" t="e">
        <f t="shared" si="54"/>
        <v>#N/A</v>
      </c>
      <c r="AA32" s="48" t="e">
        <f t="shared" si="34"/>
        <v>#N/A</v>
      </c>
      <c r="AC32" t="str">
        <f t="shared" si="6"/>
        <v/>
      </c>
      <c r="AD32" s="3" t="str">
        <f t="shared" si="7"/>
        <v/>
      </c>
      <c r="AE32" s="3" t="str">
        <f t="shared" si="25"/>
        <v/>
      </c>
      <c r="AF32" s="3" t="str">
        <f t="shared" si="8"/>
        <v/>
      </c>
      <c r="AG32" s="3">
        <f t="shared" si="55"/>
        <v>0</v>
      </c>
      <c r="AH32" s="12">
        <f t="shared" si="35"/>
        <v>0</v>
      </c>
      <c r="AI32" s="21">
        <f t="shared" si="26"/>
        <v>0</v>
      </c>
      <c r="AJ32" s="21">
        <f t="shared" si="10"/>
        <v>11.88</v>
      </c>
      <c r="AK32" s="3">
        <f t="shared" si="11"/>
        <v>0.81681408993334625</v>
      </c>
      <c r="AL32" s="48" t="e">
        <f t="shared" ref="AL32:AL55" si="56">IF(AK32="#N/D",NA(),IFERROR(AF32*AK32*AG32+AL31,IFERROR(AF32*AK32*AG32,NA())))</f>
        <v>#N/A</v>
      </c>
      <c r="AM32" s="12" t="e">
        <f>IF(AK32="#N/D",NA(),
        IF(CAPA!$I$13=0,AE32*$C$16*AH32,
             IF(CAPA!$I$13="Rp = 0",0,
                  IF(CAPA!$I$13="Rp &lt; RL",IF(AE32*$C$16*AH32&gt;AL32,AL32,AE32*$C$16*AH32),AE32*$C$16*AH32))))</f>
        <v>#VALUE!</v>
      </c>
      <c r="AN32" s="46" t="e">
        <f t="shared" ref="AN32:AN56" si="57">IFERROR(IF(AK32="#N/D",NA(),AL32+AM32),NA())</f>
        <v>#N/A</v>
      </c>
      <c r="AO32" s="46" t="e">
        <f t="shared" si="27"/>
        <v>#N/A</v>
      </c>
      <c r="AQ32" t="str">
        <f t="shared" si="13"/>
        <v/>
      </c>
      <c r="AR32" s="3" t="str">
        <f t="shared" si="14"/>
        <v/>
      </c>
      <c r="AS32" s="3">
        <f t="shared" si="28"/>
        <v>4</v>
      </c>
      <c r="AT32" s="19">
        <f t="shared" si="37"/>
        <v>0</v>
      </c>
      <c r="AU32" s="12">
        <f t="shared" si="38"/>
        <v>0</v>
      </c>
      <c r="AV32" s="21">
        <f t="shared" si="29"/>
        <v>0</v>
      </c>
      <c r="AW32" s="21">
        <f t="shared" si="15"/>
        <v>11.88</v>
      </c>
      <c r="AX32" s="3">
        <f t="shared" si="16"/>
        <v>0.81681408993334625</v>
      </c>
      <c r="AY32" s="48">
        <f t="shared" si="39"/>
        <v>970.37513884081534</v>
      </c>
      <c r="AZ32" s="19">
        <f>IF(K32&lt;=$C$28,NA(),IF(CAPA!$I$13=0,$C$16*AU32,IF(CAPA!$I$13="Rp = 0",0,IF(CAPA!$I$13="Rp &lt; RL",IF($C$16*AU32&gt;AY32,AY32,$C$16*AU32),$C$16*AU32))))</f>
        <v>0</v>
      </c>
      <c r="BA32" s="11" t="e">
        <f t="shared" si="17"/>
        <v>#N/A</v>
      </c>
      <c r="BB32" s="11" t="e">
        <f t="shared" si="18"/>
        <v>#N/A</v>
      </c>
      <c r="BD32" s="2" t="e">
        <f t="shared" si="19"/>
        <v>#N/A</v>
      </c>
      <c r="BE32" s="48" t="e">
        <f t="shared" si="30"/>
        <v>#N/A</v>
      </c>
      <c r="BF32" s="12" t="e">
        <f t="shared" si="31"/>
        <v>#VALUE!</v>
      </c>
      <c r="BG32" s="11" t="e">
        <f t="shared" si="20"/>
        <v>#N/A</v>
      </c>
      <c r="BH32" s="11" t="e">
        <f t="shared" si="40"/>
        <v>#N/A</v>
      </c>
      <c r="CB32" s="2"/>
      <c r="CC32" s="2"/>
      <c r="CD32" s="2"/>
      <c r="CM32" s="51" t="s">
        <v>145</v>
      </c>
      <c r="CN32" s="51" t="s">
        <v>144</v>
      </c>
      <c r="CO32" s="51" t="s">
        <v>146</v>
      </c>
      <c r="CP32" s="51" t="s">
        <v>144</v>
      </c>
      <c r="DH32">
        <v>-31</v>
      </c>
    </row>
    <row r="33" spans="1:112">
      <c r="A33" t="s">
        <v>138</v>
      </c>
      <c r="B33" s="2" t="s">
        <v>155</v>
      </c>
      <c r="C33" s="3">
        <f>SUMIF(N6:N56,1,L6:L56)/$N$4</f>
        <v>5.666666666666667</v>
      </c>
      <c r="E33" s="2">
        <v>27</v>
      </c>
      <c r="F33" s="5">
        <f>IFERROR(LOOKUP(E33,CAPA!$C$8:$C$57,CAPA!$F$8:$F$57),"")</f>
        <v>0</v>
      </c>
      <c r="G33" s="2" t="str">
        <f t="shared" si="0"/>
        <v/>
      </c>
      <c r="H33" s="2" t="str">
        <f>IFERROR(LOOKUP(F33,Compatibilidade!$C$6:$C$20,Compatibilidade!$D$6:$D$20),"")</f>
        <v/>
      </c>
      <c r="I33" s="2" t="str">
        <f>IFERROR(LOOKUP(F33,Compatibilidade!$C$6:$C$20,Compatibilidade!$E$6:$E$20),"")</f>
        <v/>
      </c>
      <c r="J33" s="2" t="str">
        <f>IFERROR(LOOKUP(F33,Compatibilidade!$C$6:$C$20,Compatibilidade!$F$6:$F$20),"")</f>
        <v/>
      </c>
      <c r="K33" s="124">
        <v>27</v>
      </c>
      <c r="L33" s="48">
        <f>IF(COUNTIF($BK$8:$BK$22,CAPA!F35)&gt;0,CAPA!D35,
        IF(CAPA!F35=$BK$23, IF(CAPA!$I$21="Nula",0,CAPA!D35),
             IF(CAPA!F35=$BK$24, IF(CAPA!$I$22="Negativa",-ABS(CAPA!D35),0),CAPA!D35)))</f>
        <v>0</v>
      </c>
      <c r="M33" s="48">
        <f>CAPA!E35</f>
        <v>0</v>
      </c>
      <c r="N33" s="2" t="str">
        <f t="shared" si="1"/>
        <v/>
      </c>
      <c r="O33" s="8" t="str">
        <f t="shared" si="2"/>
        <v/>
      </c>
      <c r="P33" s="3" t="str">
        <f t="shared" si="3"/>
        <v/>
      </c>
      <c r="Q33" s="3">
        <f t="shared" si="21"/>
        <v>1.33</v>
      </c>
      <c r="R33" s="3">
        <f t="shared" si="4"/>
        <v>2.66</v>
      </c>
      <c r="S33" s="3">
        <f t="shared" si="22"/>
        <v>0</v>
      </c>
      <c r="T33" s="12">
        <f t="shared" si="33"/>
        <v>0</v>
      </c>
      <c r="U33" s="21">
        <f t="shared" si="23"/>
        <v>0</v>
      </c>
      <c r="V33" s="21">
        <f t="shared" si="24"/>
        <v>11.423076923076923</v>
      </c>
      <c r="W33" s="3">
        <f t="shared" si="41"/>
        <v>0.81681408993334625</v>
      </c>
      <c r="X33" s="48">
        <f t="shared" si="45"/>
        <v>1641.6120769863419</v>
      </c>
      <c r="Y33" s="48">
        <f>IF(W33="#N/D",NA(),IF(CAPA!$I$13=0,$C$16*T33,IF(CAPA!$I$13="Rp = 0",0,IF(CAPA!$I$13="Rp &lt; RL",IF($C$16*T33&gt;X33,X33,$C$16*T33),$C$16*T33))))</f>
        <v>0</v>
      </c>
      <c r="Z33" s="48" t="e">
        <f t="shared" si="54"/>
        <v>#N/A</v>
      </c>
      <c r="AA33" s="48" t="e">
        <f>IFERROR(IF(O33="",NA(),Z33/$D$26),NA())</f>
        <v>#N/A</v>
      </c>
      <c r="AC33" t="str">
        <f t="shared" si="6"/>
        <v/>
      </c>
      <c r="AD33" s="3" t="str">
        <f t="shared" si="7"/>
        <v/>
      </c>
      <c r="AE33" s="3" t="str">
        <f t="shared" si="25"/>
        <v/>
      </c>
      <c r="AF33" s="3" t="str">
        <f t="shared" si="8"/>
        <v/>
      </c>
      <c r="AG33" s="3">
        <f t="shared" si="55"/>
        <v>0</v>
      </c>
      <c r="AH33" s="12">
        <f t="shared" si="35"/>
        <v>0</v>
      </c>
      <c r="AI33" s="21">
        <f t="shared" si="26"/>
        <v>0</v>
      </c>
      <c r="AJ33" s="21">
        <f t="shared" si="10"/>
        <v>11.423076923076923</v>
      </c>
      <c r="AK33" s="3">
        <f t="shared" si="11"/>
        <v>0.81681408993334625</v>
      </c>
      <c r="AL33" s="48" t="e">
        <f t="shared" si="56"/>
        <v>#N/A</v>
      </c>
      <c r="AM33" s="12" t="e">
        <f>IF(AK33="#N/D",NA(),
        IF(CAPA!$I$13=0,AE33*$C$16*AH33,
             IF(CAPA!$I$13="Rp = 0",0,
                  IF(CAPA!$I$13="Rp &lt; RL",IF(AE33*$C$16*AH33&gt;AL33,AL33,AE33*$C$16*AH33),AE33*$C$16*AH33))))</f>
        <v>#VALUE!</v>
      </c>
      <c r="AN33" s="46" t="e">
        <f t="shared" si="57"/>
        <v>#N/A</v>
      </c>
      <c r="AO33" s="46" t="e">
        <f t="shared" si="27"/>
        <v>#N/A</v>
      </c>
      <c r="AQ33" t="str">
        <f t="shared" si="13"/>
        <v/>
      </c>
      <c r="AR33" s="3" t="str">
        <f t="shared" si="14"/>
        <v/>
      </c>
      <c r="AS33" s="3">
        <f t="shared" si="28"/>
        <v>4</v>
      </c>
      <c r="AT33" s="19">
        <f t="shared" si="37"/>
        <v>0</v>
      </c>
      <c r="AU33" s="12">
        <f t="shared" si="38"/>
        <v>0</v>
      </c>
      <c r="AV33" s="21">
        <f t="shared" si="29"/>
        <v>0</v>
      </c>
      <c r="AW33" s="21">
        <f t="shared" si="15"/>
        <v>11.423076923076923</v>
      </c>
      <c r="AX33" s="3">
        <f t="shared" si="16"/>
        <v>0.81681408993334625</v>
      </c>
      <c r="AY33" s="48">
        <f t="shared" si="39"/>
        <v>970.37513884081534</v>
      </c>
      <c r="AZ33" s="19">
        <f>IF(K33&lt;=$C$28,NA(),IF(CAPA!$I$13=0,$C$16*AU33,IF(CAPA!$I$13="Rp = 0",0,IF(CAPA!$I$13="Rp &lt; RL",IF($C$16*AU33&gt;AY33,AY33,$C$16*AU33),$C$16*AU33))))</f>
        <v>0</v>
      </c>
      <c r="BA33" s="11" t="e">
        <f t="shared" si="17"/>
        <v>#N/A</v>
      </c>
      <c r="BB33" s="11" t="e">
        <f t="shared" si="18"/>
        <v>#N/A</v>
      </c>
      <c r="BD33" s="2" t="e">
        <f t="shared" si="19"/>
        <v>#N/A</v>
      </c>
      <c r="BE33" s="48" t="e">
        <f t="shared" si="30"/>
        <v>#N/A</v>
      </c>
      <c r="BF33" s="12" t="e">
        <f t="shared" si="31"/>
        <v>#VALUE!</v>
      </c>
      <c r="BG33" s="11" t="e">
        <f t="shared" si="20"/>
        <v>#N/A</v>
      </c>
      <c r="BH33" s="11" t="e">
        <f t="shared" si="40"/>
        <v>#N/A</v>
      </c>
      <c r="CB33" s="2"/>
      <c r="CC33" s="2"/>
      <c r="CD33" s="2"/>
      <c r="DH33">
        <v>-32</v>
      </c>
    </row>
    <row r="34" spans="1:112">
      <c r="E34" s="2">
        <v>28</v>
      </c>
      <c r="F34" s="5">
        <f>IFERROR(LOOKUP(E34,CAPA!$C$8:$C$57,CAPA!$F$8:$F$57),"")</f>
        <v>0</v>
      </c>
      <c r="G34" s="2" t="str">
        <f t="shared" si="0"/>
        <v/>
      </c>
      <c r="H34" s="2" t="str">
        <f>IFERROR(LOOKUP(F34,Compatibilidade!$C$6:$C$20,Compatibilidade!$D$6:$D$20),"")</f>
        <v/>
      </c>
      <c r="I34" s="2" t="str">
        <f>IFERROR(LOOKUP(F34,Compatibilidade!$C$6:$C$20,Compatibilidade!$E$6:$E$20),"")</f>
        <v/>
      </c>
      <c r="J34" s="2" t="str">
        <f>IFERROR(LOOKUP(F34,Compatibilidade!$C$6:$C$20,Compatibilidade!$F$6:$F$20),"")</f>
        <v/>
      </c>
      <c r="K34" s="124">
        <v>28</v>
      </c>
      <c r="L34" s="48">
        <f>IF(COUNTIF($BK$8:$BK$22,CAPA!F36)&gt;0,CAPA!D36,
        IF(CAPA!F36=$BK$23, IF(CAPA!$I$21="Nula",0,CAPA!D36),
             IF(CAPA!F36=$BK$24, IF(CAPA!$I$22="Negativa",-ABS(CAPA!D36),0),CAPA!D36)))</f>
        <v>0</v>
      </c>
      <c r="M34" s="48">
        <f>CAPA!E36</f>
        <v>0</v>
      </c>
      <c r="N34" s="2" t="str">
        <f t="shared" si="1"/>
        <v/>
      </c>
      <c r="O34" s="8" t="str">
        <f t="shared" si="2"/>
        <v/>
      </c>
      <c r="P34" s="3" t="str">
        <f t="shared" si="3"/>
        <v/>
      </c>
      <c r="Q34" s="3">
        <f t="shared" si="21"/>
        <v>1.33</v>
      </c>
      <c r="R34" s="3">
        <f t="shared" si="4"/>
        <v>2.66</v>
      </c>
      <c r="S34" s="3">
        <f t="shared" si="22"/>
        <v>0</v>
      </c>
      <c r="T34" s="12">
        <f t="shared" si="33"/>
        <v>0</v>
      </c>
      <c r="U34" s="21">
        <f t="shared" si="23"/>
        <v>0</v>
      </c>
      <c r="V34" s="21">
        <f t="shared" si="24"/>
        <v>11</v>
      </c>
      <c r="W34" s="3">
        <f t="shared" si="41"/>
        <v>0.81681408993334625</v>
      </c>
      <c r="X34" s="48">
        <f t="shared" si="45"/>
        <v>1641.6120769863419</v>
      </c>
      <c r="Y34" s="48">
        <f>IF(W34="#N/D",NA(),IF(CAPA!$I$13=0,$C$16*T34,IF(CAPA!$I$13="Rp = 0",0,IF(CAPA!$I$13="Rp &lt; RL",IF($C$16*T34&gt;X34,X34,$C$16*T34),$C$16*T34))))</f>
        <v>0</v>
      </c>
      <c r="Z34" s="48" t="e">
        <f t="shared" si="54"/>
        <v>#N/A</v>
      </c>
      <c r="AA34" s="48" t="e">
        <f t="shared" si="34"/>
        <v>#N/A</v>
      </c>
      <c r="AC34" t="str">
        <f t="shared" si="6"/>
        <v/>
      </c>
      <c r="AD34" s="3" t="str">
        <f t="shared" si="7"/>
        <v/>
      </c>
      <c r="AE34" s="3" t="str">
        <f t="shared" si="25"/>
        <v/>
      </c>
      <c r="AF34" s="3" t="str">
        <f t="shared" si="8"/>
        <v/>
      </c>
      <c r="AG34" s="3">
        <f t="shared" si="55"/>
        <v>0</v>
      </c>
      <c r="AH34" s="12">
        <f t="shared" si="35"/>
        <v>0</v>
      </c>
      <c r="AI34" s="21">
        <f t="shared" si="26"/>
        <v>0</v>
      </c>
      <c r="AJ34" s="21">
        <f t="shared" si="10"/>
        <v>11</v>
      </c>
      <c r="AK34" s="3">
        <f t="shared" si="11"/>
        <v>0.81681408993334625</v>
      </c>
      <c r="AL34" s="48" t="e">
        <f t="shared" si="56"/>
        <v>#N/A</v>
      </c>
      <c r="AM34" s="12" t="e">
        <f>IF(AK34="#N/D",NA(),
        IF(CAPA!$I$13=0,AE34*$C$16*AH34,
             IF(CAPA!$I$13="Rp = 0",0,
                  IF(CAPA!$I$13="Rp &lt; RL",IF(AE34*$C$16*AH34&gt;AL34,AL34,AE34*$C$16*AH34),AE34*$C$16*AH34))))</f>
        <v>#VALUE!</v>
      </c>
      <c r="AN34" s="46" t="e">
        <f t="shared" si="57"/>
        <v>#N/A</v>
      </c>
      <c r="AO34" s="46" t="e">
        <f t="shared" si="27"/>
        <v>#N/A</v>
      </c>
      <c r="AQ34" t="str">
        <f t="shared" si="13"/>
        <v/>
      </c>
      <c r="AR34" s="3" t="str">
        <f t="shared" si="14"/>
        <v/>
      </c>
      <c r="AS34" s="3">
        <f t="shared" si="28"/>
        <v>4</v>
      </c>
      <c r="AT34" s="19">
        <f t="shared" si="37"/>
        <v>0</v>
      </c>
      <c r="AU34" s="12">
        <f t="shared" si="38"/>
        <v>0</v>
      </c>
      <c r="AV34" s="21">
        <f t="shared" si="29"/>
        <v>0</v>
      </c>
      <c r="AW34" s="21">
        <f t="shared" si="15"/>
        <v>11</v>
      </c>
      <c r="AX34" s="3">
        <f t="shared" si="16"/>
        <v>0.81681408993334625</v>
      </c>
      <c r="AY34" s="48">
        <f t="shared" si="39"/>
        <v>970.37513884081534</v>
      </c>
      <c r="AZ34" s="19">
        <f>IF(K34&lt;=$C$28,NA(),IF(CAPA!$I$13=0,$C$16*AU34,IF(CAPA!$I$13="Rp = 0",0,IF(CAPA!$I$13="Rp &lt; RL",IF($C$16*AU34&gt;AY34,AY34,$C$16*AU34),$C$16*AU34))))</f>
        <v>0</v>
      </c>
      <c r="BA34" s="11" t="e">
        <f t="shared" si="17"/>
        <v>#N/A</v>
      </c>
      <c r="BB34" s="11" t="e">
        <f t="shared" si="18"/>
        <v>#N/A</v>
      </c>
      <c r="BD34" s="2" t="e">
        <f t="shared" si="19"/>
        <v>#N/A</v>
      </c>
      <c r="BE34" s="48" t="e">
        <f t="shared" si="30"/>
        <v>#N/A</v>
      </c>
      <c r="BF34" s="12" t="e">
        <f t="shared" si="31"/>
        <v>#VALUE!</v>
      </c>
      <c r="BG34" s="11" t="e">
        <f t="shared" si="20"/>
        <v>#N/A</v>
      </c>
      <c r="BH34" s="11" t="e">
        <f t="shared" si="40"/>
        <v>#N/A</v>
      </c>
      <c r="BT34" s="2"/>
      <c r="BU34" s="2"/>
      <c r="BV34" s="2"/>
      <c r="BW34" s="2"/>
      <c r="BX34" s="2"/>
      <c r="BY34" s="2"/>
      <c r="BZ34" s="2"/>
      <c r="CB34" s="2"/>
      <c r="CC34" s="2"/>
      <c r="CD34" s="2"/>
      <c r="DH34">
        <v>-33</v>
      </c>
    </row>
    <row r="35" spans="1:112">
      <c r="A35" t="s">
        <v>138</v>
      </c>
      <c r="B35" s="5" t="s">
        <v>74</v>
      </c>
      <c r="C35" s="21">
        <f>LOOKUP((C29-1),E7:E56,T7:T56)</f>
        <v>4060.1503759398493</v>
      </c>
      <c r="E35" s="2">
        <v>29</v>
      </c>
      <c r="F35" s="5">
        <f>IFERROR(LOOKUP(E35,CAPA!$C$8:$C$57,CAPA!$F$8:$F$57),"")</f>
        <v>0</v>
      </c>
      <c r="G35" s="2" t="str">
        <f t="shared" si="0"/>
        <v/>
      </c>
      <c r="H35" s="2" t="str">
        <f>IFERROR(LOOKUP(F35,Compatibilidade!$C$6:$C$20,Compatibilidade!$D$6:$D$20),"")</f>
        <v/>
      </c>
      <c r="I35" s="2" t="str">
        <f>IFERROR(LOOKUP(F35,Compatibilidade!$C$6:$C$20,Compatibilidade!$E$6:$E$20),"")</f>
        <v/>
      </c>
      <c r="J35" s="2" t="str">
        <f>IFERROR(LOOKUP(F35,Compatibilidade!$C$6:$C$20,Compatibilidade!$F$6:$F$20),"")</f>
        <v/>
      </c>
      <c r="K35" s="124">
        <v>29</v>
      </c>
      <c r="L35" s="48">
        <f>IF(COUNTIF($BK$8:$BK$22,CAPA!F37)&gt;0,CAPA!D37,
        IF(CAPA!F37=$BK$23, IF(CAPA!$I$21="Nula",0,CAPA!D37),
             IF(CAPA!F37=$BK$24, IF(CAPA!$I$22="Negativa",-ABS(CAPA!D37),0),CAPA!D37)))</f>
        <v>0</v>
      </c>
      <c r="M35" s="48">
        <f>CAPA!E37</f>
        <v>0</v>
      </c>
      <c r="N35" s="2" t="str">
        <f t="shared" si="1"/>
        <v/>
      </c>
      <c r="O35" s="8" t="str">
        <f t="shared" si="2"/>
        <v/>
      </c>
      <c r="P35" s="3" t="str">
        <f t="shared" si="3"/>
        <v/>
      </c>
      <c r="Q35" s="3">
        <f t="shared" si="21"/>
        <v>1.33</v>
      </c>
      <c r="R35" s="3">
        <f t="shared" si="4"/>
        <v>2.66</v>
      </c>
      <c r="S35" s="3">
        <f t="shared" si="22"/>
        <v>0</v>
      </c>
      <c r="T35" s="12">
        <f t="shared" si="33"/>
        <v>0</v>
      </c>
      <c r="U35" s="21">
        <f t="shared" si="23"/>
        <v>0</v>
      </c>
      <c r="V35" s="21">
        <f t="shared" si="24"/>
        <v>10.607142857142858</v>
      </c>
      <c r="W35" s="3">
        <f t="shared" si="41"/>
        <v>0.81681408993334625</v>
      </c>
      <c r="X35" s="48">
        <f t="shared" si="45"/>
        <v>1641.6120769863419</v>
      </c>
      <c r="Y35" s="48">
        <f>IF(W35="#N/D",NA(),IF(CAPA!$I$13=0,$C$16*T35,IF(CAPA!$I$13="Rp = 0",0,IF(CAPA!$I$13="Rp &lt; RL",IF($C$16*T35&gt;X35,X35,$C$16*T35),$C$16*T35))))</f>
        <v>0</v>
      </c>
      <c r="Z35" s="48" t="e">
        <f t="shared" si="54"/>
        <v>#N/A</v>
      </c>
      <c r="AA35" s="48" t="e">
        <f t="shared" si="34"/>
        <v>#N/A</v>
      </c>
      <c r="AC35" t="str">
        <f t="shared" si="6"/>
        <v/>
      </c>
      <c r="AD35" s="3" t="str">
        <f t="shared" si="7"/>
        <v/>
      </c>
      <c r="AE35" s="3" t="str">
        <f t="shared" si="25"/>
        <v/>
      </c>
      <c r="AF35" s="3" t="str">
        <f t="shared" si="8"/>
        <v/>
      </c>
      <c r="AG35" s="3">
        <f t="shared" si="55"/>
        <v>0</v>
      </c>
      <c r="AH35" s="12">
        <f t="shared" si="35"/>
        <v>0</v>
      </c>
      <c r="AI35" s="21">
        <f t="shared" si="26"/>
        <v>0</v>
      </c>
      <c r="AJ35" s="21">
        <f t="shared" si="10"/>
        <v>10.607142857142858</v>
      </c>
      <c r="AK35" s="3">
        <f t="shared" si="11"/>
        <v>0.81681408993334625</v>
      </c>
      <c r="AL35" s="48" t="e">
        <f t="shared" si="56"/>
        <v>#N/A</v>
      </c>
      <c r="AM35" s="12" t="e">
        <f>IF(AK35="#N/D",NA(),
        IF(CAPA!$I$13=0,AE35*$C$16*AH35,
             IF(CAPA!$I$13="Rp = 0",0,
                  IF(CAPA!$I$13="Rp &lt; RL",IF(AE35*$C$16*AH35&gt;AL35,AL35,AE35*$C$16*AH35),AE35*$C$16*AH35))))</f>
        <v>#VALUE!</v>
      </c>
      <c r="AN35" s="46" t="e">
        <f t="shared" si="57"/>
        <v>#N/A</v>
      </c>
      <c r="AO35" s="46" t="e">
        <f t="shared" si="27"/>
        <v>#N/A</v>
      </c>
      <c r="AQ35" t="str">
        <f t="shared" si="13"/>
        <v/>
      </c>
      <c r="AR35" s="3" t="str">
        <f t="shared" si="14"/>
        <v/>
      </c>
      <c r="AS35" s="3">
        <f t="shared" si="28"/>
        <v>4</v>
      </c>
      <c r="AT35" s="19">
        <f t="shared" si="37"/>
        <v>0</v>
      </c>
      <c r="AU35" s="12">
        <f t="shared" si="38"/>
        <v>0</v>
      </c>
      <c r="AV35" s="21">
        <f t="shared" si="29"/>
        <v>0</v>
      </c>
      <c r="AW35" s="21">
        <f t="shared" si="15"/>
        <v>10.607142857142858</v>
      </c>
      <c r="AX35" s="3">
        <f t="shared" si="16"/>
        <v>0.81681408993334625</v>
      </c>
      <c r="AY35" s="48">
        <f t="shared" si="39"/>
        <v>970.37513884081534</v>
      </c>
      <c r="AZ35" s="19">
        <f>IF(K35&lt;=$C$28,NA(),IF(CAPA!$I$13=0,$C$16*AU35,IF(CAPA!$I$13="Rp = 0",0,IF(CAPA!$I$13="Rp &lt; RL",IF($C$16*AU35&gt;AY35,AY35,$C$16*AU35),$C$16*AU35))))</f>
        <v>0</v>
      </c>
      <c r="BA35" s="11" t="e">
        <f t="shared" si="17"/>
        <v>#N/A</v>
      </c>
      <c r="BB35" s="11" t="e">
        <f t="shared" si="18"/>
        <v>#N/A</v>
      </c>
      <c r="BD35" s="2" t="e">
        <f t="shared" si="19"/>
        <v>#N/A</v>
      </c>
      <c r="BE35" s="48" t="e">
        <f t="shared" si="30"/>
        <v>#N/A</v>
      </c>
      <c r="BF35" s="12" t="e">
        <f t="shared" si="31"/>
        <v>#VALUE!</v>
      </c>
      <c r="BG35" s="11" t="e">
        <f t="shared" si="20"/>
        <v>#N/A</v>
      </c>
      <c r="BH35" s="11" t="e">
        <f t="shared" si="40"/>
        <v>#N/A</v>
      </c>
      <c r="BT35" s="22"/>
      <c r="BU35" s="22"/>
      <c r="BV35" s="22"/>
      <c r="BW35" s="22"/>
      <c r="BX35" s="22"/>
      <c r="BY35" s="22"/>
      <c r="BZ35" s="22"/>
      <c r="CB35" s="2"/>
      <c r="CC35" s="2"/>
      <c r="CD35" s="2"/>
      <c r="DH35">
        <v>-34</v>
      </c>
    </row>
    <row r="36" spans="1:112">
      <c r="A36" t="s">
        <v>138</v>
      </c>
      <c r="B36" s="5" t="s">
        <v>142</v>
      </c>
      <c r="C36" s="21">
        <f>SUMIF(N7:N56,1,S7:S56)/N4</f>
        <v>38.345864661654133</v>
      </c>
      <c r="E36" s="2">
        <v>30</v>
      </c>
      <c r="F36" s="5">
        <f>IFERROR(LOOKUP(E36,CAPA!$C$8:$C$57,CAPA!$F$8:$F$57),"")</f>
        <v>0</v>
      </c>
      <c r="G36" s="2" t="str">
        <f t="shared" si="0"/>
        <v/>
      </c>
      <c r="H36" s="2" t="str">
        <f>IFERROR(LOOKUP(F36,Compatibilidade!$C$6:$C$20,Compatibilidade!$D$6:$D$20),"")</f>
        <v/>
      </c>
      <c r="I36" s="2" t="str">
        <f>IFERROR(LOOKUP(F36,Compatibilidade!$C$6:$C$20,Compatibilidade!$E$6:$E$20),"")</f>
        <v/>
      </c>
      <c r="J36" s="2" t="str">
        <f>IFERROR(LOOKUP(F36,Compatibilidade!$C$6:$C$20,Compatibilidade!$F$6:$F$20),"")</f>
        <v/>
      </c>
      <c r="K36" s="124">
        <v>30</v>
      </c>
      <c r="L36" s="48">
        <f>IF(COUNTIF($BK$8:$BK$22,CAPA!F38)&gt;0,CAPA!D38,
        IF(CAPA!F38=$BK$23, IF(CAPA!$I$21="Nula",0,CAPA!D38),
             IF(CAPA!F38=$BK$24, IF(CAPA!$I$22="Negativa",-ABS(CAPA!D38),0),CAPA!D38)))</f>
        <v>0</v>
      </c>
      <c r="M36" s="48">
        <f>CAPA!E38</f>
        <v>0</v>
      </c>
      <c r="N36" s="2" t="str">
        <f t="shared" si="1"/>
        <v/>
      </c>
      <c r="O36" s="8" t="str">
        <f t="shared" si="2"/>
        <v/>
      </c>
      <c r="P36" s="3" t="str">
        <f t="shared" si="3"/>
        <v/>
      </c>
      <c r="Q36" s="3">
        <f t="shared" si="21"/>
        <v>1.33</v>
      </c>
      <c r="R36" s="3">
        <f t="shared" si="4"/>
        <v>2.66</v>
      </c>
      <c r="S36" s="3">
        <f t="shared" si="22"/>
        <v>0</v>
      </c>
      <c r="T36" s="12">
        <f t="shared" si="33"/>
        <v>0</v>
      </c>
      <c r="U36" s="21">
        <f t="shared" si="23"/>
        <v>0</v>
      </c>
      <c r="V36" s="21">
        <f t="shared" si="24"/>
        <v>10.241379310344827</v>
      </c>
      <c r="W36" s="3">
        <f t="shared" si="41"/>
        <v>0.81681408993334625</v>
      </c>
      <c r="X36" s="48">
        <f t="shared" si="45"/>
        <v>1641.6120769863419</v>
      </c>
      <c r="Y36" s="48">
        <f>IF(W36="#N/D",NA(),IF(CAPA!$I$13=0,$C$16*T36,IF(CAPA!$I$13="Rp = 0",0,IF(CAPA!$I$13="Rp &lt; RL",IF($C$16*T36&gt;X36,X36,$C$16*T36),$C$16*T36))))</f>
        <v>0</v>
      </c>
      <c r="Z36" s="48" t="e">
        <f t="shared" ref="Z36:Z42" si="58">IF(O36="",NA(),IF(W36="#N/D",NA(),X36+Y36))</f>
        <v>#N/A</v>
      </c>
      <c r="AA36" s="48" t="e">
        <f t="shared" si="34"/>
        <v>#N/A</v>
      </c>
      <c r="AC36" t="str">
        <f t="shared" si="6"/>
        <v/>
      </c>
      <c r="AD36" s="3" t="str">
        <f t="shared" si="7"/>
        <v/>
      </c>
      <c r="AE36" s="3" t="str">
        <f t="shared" si="25"/>
        <v/>
      </c>
      <c r="AF36" s="3" t="str">
        <f t="shared" si="8"/>
        <v/>
      </c>
      <c r="AG36" s="3">
        <f t="shared" si="55"/>
        <v>0</v>
      </c>
      <c r="AH36" s="12">
        <f t="shared" si="35"/>
        <v>0</v>
      </c>
      <c r="AI36" s="21">
        <f t="shared" si="26"/>
        <v>0</v>
      </c>
      <c r="AJ36" s="21">
        <f t="shared" si="10"/>
        <v>10.241379310344827</v>
      </c>
      <c r="AK36" s="3">
        <f t="shared" si="11"/>
        <v>0.81681408993334625</v>
      </c>
      <c r="AL36" s="48" t="e">
        <f t="shared" si="56"/>
        <v>#N/A</v>
      </c>
      <c r="AM36" s="12" t="e">
        <f>IF(AK36="#N/D",NA(),
        IF(CAPA!$I$13=0,AE36*$C$16*AH36,
             IF(CAPA!$I$13="Rp = 0",0,
                  IF(CAPA!$I$13="Rp &lt; RL",IF(AE36*$C$16*AH36&gt;AL36,AL36,AE36*$C$16*AH36),AE36*$C$16*AH36))))</f>
        <v>#VALUE!</v>
      </c>
      <c r="AN36" s="46" t="e">
        <f t="shared" si="57"/>
        <v>#N/A</v>
      </c>
      <c r="AO36" s="46" t="e">
        <f t="shared" si="27"/>
        <v>#N/A</v>
      </c>
      <c r="AQ36" t="str">
        <f t="shared" si="13"/>
        <v/>
      </c>
      <c r="AR36" s="3" t="str">
        <f t="shared" si="14"/>
        <v/>
      </c>
      <c r="AS36" s="3">
        <f t="shared" si="28"/>
        <v>4</v>
      </c>
      <c r="AT36" s="19">
        <f t="shared" si="37"/>
        <v>0</v>
      </c>
      <c r="AU36" s="12">
        <f t="shared" si="38"/>
        <v>0</v>
      </c>
      <c r="AV36" s="21">
        <f t="shared" si="29"/>
        <v>0</v>
      </c>
      <c r="AW36" s="21">
        <f t="shared" si="15"/>
        <v>10.241379310344827</v>
      </c>
      <c r="AX36" s="3">
        <f t="shared" si="16"/>
        <v>0.81681408993334625</v>
      </c>
      <c r="AY36" s="48">
        <f t="shared" si="39"/>
        <v>970.37513884081534</v>
      </c>
      <c r="AZ36" s="19">
        <f>IF(K36&lt;=$C$28,NA(),IF(CAPA!$I$13=0,$C$16*AU36,IF(CAPA!$I$13="Rp = 0",0,IF(CAPA!$I$13="Rp &lt; RL",IF($C$16*AU36&gt;AY36,AY36,$C$16*AU36),$C$16*AU36))))</f>
        <v>0</v>
      </c>
      <c r="BA36" s="11" t="e">
        <f t="shared" si="17"/>
        <v>#N/A</v>
      </c>
      <c r="BB36" s="11" t="e">
        <f t="shared" si="18"/>
        <v>#N/A</v>
      </c>
      <c r="BD36" s="2" t="e">
        <f t="shared" si="19"/>
        <v>#N/A</v>
      </c>
      <c r="BE36" s="48" t="e">
        <f t="shared" si="30"/>
        <v>#N/A</v>
      </c>
      <c r="BF36" s="12" t="e">
        <f t="shared" si="31"/>
        <v>#VALUE!</v>
      </c>
      <c r="BG36" s="11" t="e">
        <f t="shared" si="20"/>
        <v>#N/A</v>
      </c>
      <c r="BH36" s="11" t="e">
        <f t="shared" si="40"/>
        <v>#N/A</v>
      </c>
      <c r="BV36" s="3"/>
      <c r="BX36" s="3"/>
      <c r="BZ36" s="3"/>
      <c r="CB36" s="2"/>
      <c r="CC36" s="2"/>
      <c r="CD36" s="2"/>
      <c r="CU36" s="397"/>
      <c r="CV36" s="397"/>
      <c r="CW36" s="397"/>
      <c r="CX36" s="397"/>
      <c r="CY36" s="397"/>
      <c r="CZ36" s="397"/>
      <c r="DA36" s="397"/>
      <c r="DB36" s="397"/>
      <c r="DC36" s="397"/>
      <c r="DD36" s="397"/>
      <c r="DH36">
        <v>-35</v>
      </c>
    </row>
    <row r="37" spans="1:112">
      <c r="C37" s="21"/>
      <c r="E37" s="2">
        <v>31</v>
      </c>
      <c r="F37" s="5">
        <f>IFERROR(LOOKUP(E37,CAPA!$C$8:$C$57,CAPA!$F$8:$F$57),"")</f>
        <v>0</v>
      </c>
      <c r="G37" s="2" t="str">
        <f t="shared" si="0"/>
        <v/>
      </c>
      <c r="H37" s="2" t="str">
        <f>IFERROR(LOOKUP(F37,Compatibilidade!$C$6:$C$20,Compatibilidade!$D$6:$D$20),"")</f>
        <v/>
      </c>
      <c r="I37" s="2" t="str">
        <f>IFERROR(LOOKUP(F37,Compatibilidade!$C$6:$C$20,Compatibilidade!$E$6:$E$20),"")</f>
        <v/>
      </c>
      <c r="J37" s="2" t="str">
        <f>IFERROR(LOOKUP(F37,Compatibilidade!$C$6:$C$20,Compatibilidade!$F$6:$F$20),"")</f>
        <v/>
      </c>
      <c r="K37" s="124">
        <v>31</v>
      </c>
      <c r="L37" s="48">
        <f>IF(COUNTIF($BK$8:$BK$22,CAPA!F39)&gt;0,CAPA!D39,
        IF(CAPA!F39=$BK$23, IF(CAPA!$I$21="Nula",0,CAPA!D39),
             IF(CAPA!F39=$BK$24, IF(CAPA!$I$22="Negativa",-ABS(CAPA!D39),0),CAPA!D39)))</f>
        <v>0</v>
      </c>
      <c r="M37" s="48">
        <f>CAPA!E39</f>
        <v>0</v>
      </c>
      <c r="N37" s="2" t="str">
        <f t="shared" si="1"/>
        <v/>
      </c>
      <c r="O37" s="8" t="str">
        <f t="shared" si="2"/>
        <v/>
      </c>
      <c r="P37" s="3" t="str">
        <f t="shared" si="3"/>
        <v/>
      </c>
      <c r="Q37" s="3">
        <f t="shared" si="21"/>
        <v>1.33</v>
      </c>
      <c r="R37" s="3">
        <f t="shared" si="4"/>
        <v>2.66</v>
      </c>
      <c r="S37" s="3">
        <f t="shared" si="22"/>
        <v>0</v>
      </c>
      <c r="T37" s="12">
        <f t="shared" si="33"/>
        <v>0</v>
      </c>
      <c r="U37" s="21">
        <f t="shared" si="23"/>
        <v>0</v>
      </c>
      <c r="V37" s="21">
        <f t="shared" si="24"/>
        <v>9.9</v>
      </c>
      <c r="W37" s="3">
        <f t="shared" si="41"/>
        <v>0.81681408993334625</v>
      </c>
      <c r="X37" s="48">
        <f t="shared" si="45"/>
        <v>1641.6120769863419</v>
      </c>
      <c r="Y37" s="48">
        <f>IF(W37="#N/D",NA(),IF(CAPA!$I$13=0,$C$16*T37,IF(CAPA!$I$13="Rp = 0",0,IF(CAPA!$I$13="Rp &lt; RL",IF($C$16*T37&gt;X37,X37,$C$16*T37),$C$16*T37))))</f>
        <v>0</v>
      </c>
      <c r="Z37" s="48" t="e">
        <f t="shared" si="58"/>
        <v>#N/A</v>
      </c>
      <c r="AA37" s="48" t="e">
        <f t="shared" si="34"/>
        <v>#N/A</v>
      </c>
      <c r="AC37" t="str">
        <f t="shared" si="6"/>
        <v/>
      </c>
      <c r="AD37" s="3" t="str">
        <f t="shared" si="7"/>
        <v/>
      </c>
      <c r="AE37" s="3" t="str">
        <f t="shared" si="25"/>
        <v/>
      </c>
      <c r="AF37" s="3" t="str">
        <f t="shared" si="8"/>
        <v/>
      </c>
      <c r="AG37" s="3">
        <f t="shared" si="55"/>
        <v>0</v>
      </c>
      <c r="AH37" s="12">
        <f t="shared" si="35"/>
        <v>0</v>
      </c>
      <c r="AI37" s="21">
        <f t="shared" si="26"/>
        <v>0</v>
      </c>
      <c r="AJ37" s="21">
        <f t="shared" si="10"/>
        <v>9.9</v>
      </c>
      <c r="AK37" s="3">
        <f t="shared" si="11"/>
        <v>0.81681408993334625</v>
      </c>
      <c r="AL37" s="48" t="e">
        <f t="shared" si="56"/>
        <v>#N/A</v>
      </c>
      <c r="AM37" s="12" t="e">
        <f>IF(AK37="#N/D",NA(),
        IF(CAPA!$I$13=0,AE37*$C$16*AH37,
             IF(CAPA!$I$13="Rp = 0",0,
                  IF(CAPA!$I$13="Rp &lt; RL",IF(AE37*$C$16*AH37&gt;AL37,AL37,AE37*$C$16*AH37),AE37*$C$16*AH37))))</f>
        <v>#VALUE!</v>
      </c>
      <c r="AN37" s="46" t="e">
        <f t="shared" si="57"/>
        <v>#N/A</v>
      </c>
      <c r="AO37" s="46" t="e">
        <f t="shared" si="27"/>
        <v>#N/A</v>
      </c>
      <c r="AQ37" t="str">
        <f t="shared" si="13"/>
        <v/>
      </c>
      <c r="AR37" s="3" t="str">
        <f t="shared" si="14"/>
        <v/>
      </c>
      <c r="AS37" s="3">
        <f t="shared" si="28"/>
        <v>4</v>
      </c>
      <c r="AT37" s="19">
        <f t="shared" si="37"/>
        <v>0</v>
      </c>
      <c r="AU37" s="12">
        <f t="shared" si="38"/>
        <v>0</v>
      </c>
      <c r="AV37" s="21">
        <f t="shared" si="29"/>
        <v>0</v>
      </c>
      <c r="AW37" s="21">
        <f t="shared" si="15"/>
        <v>9.9</v>
      </c>
      <c r="AX37" s="3">
        <f t="shared" si="16"/>
        <v>0.81681408993334625</v>
      </c>
      <c r="AY37" s="48">
        <f t="shared" si="39"/>
        <v>970.37513884081534</v>
      </c>
      <c r="AZ37" s="19">
        <f>IF(K37&lt;=$C$28,NA(),IF(CAPA!$I$13=0,$C$16*AU37,IF(CAPA!$I$13="Rp = 0",0,IF(CAPA!$I$13="Rp &lt; RL",IF($C$16*AU37&gt;AY37,AY37,$C$16*AU37),$C$16*AU37))))</f>
        <v>0</v>
      </c>
      <c r="BA37" s="11" t="e">
        <f t="shared" si="17"/>
        <v>#N/A</v>
      </c>
      <c r="BB37" s="11" t="e">
        <f t="shared" si="18"/>
        <v>#N/A</v>
      </c>
      <c r="BD37" s="2" t="e">
        <f t="shared" si="19"/>
        <v>#N/A</v>
      </c>
      <c r="BE37" s="48" t="e">
        <f t="shared" si="30"/>
        <v>#N/A</v>
      </c>
      <c r="BF37" s="12" t="e">
        <f t="shared" si="31"/>
        <v>#VALUE!</v>
      </c>
      <c r="BG37" s="11" t="e">
        <f t="shared" si="20"/>
        <v>#N/A</v>
      </c>
      <c r="BH37" s="11" t="e">
        <f t="shared" si="40"/>
        <v>#N/A</v>
      </c>
      <c r="BV37" s="3"/>
      <c r="BX37" s="3"/>
      <c r="BZ37" s="3"/>
      <c r="CB37" s="2"/>
      <c r="CC37" s="2"/>
      <c r="CD37" s="2"/>
      <c r="DH37">
        <v>-36</v>
      </c>
    </row>
    <row r="38" spans="1:112" ht="15" customHeight="1">
      <c r="A38" t="s">
        <v>138</v>
      </c>
      <c r="B38" s="5" t="s">
        <v>76</v>
      </c>
      <c r="C38" s="48">
        <f>IF(C35=0,"",LOOKUP((C29),E7:E56,Y7:Y56))</f>
        <v>335.32367902526846</v>
      </c>
      <c r="E38" s="2">
        <v>32</v>
      </c>
      <c r="F38" s="5">
        <f>IFERROR(LOOKUP(E38,CAPA!$C$8:$C$57,CAPA!$F$8:$F$57),"")</f>
        <v>0</v>
      </c>
      <c r="G38" s="2" t="str">
        <f t="shared" si="0"/>
        <v/>
      </c>
      <c r="H38" s="2" t="str">
        <f>IFERROR(LOOKUP(F38,Compatibilidade!$C$6:$C$20,Compatibilidade!$D$6:$D$20),"")</f>
        <v/>
      </c>
      <c r="I38" s="2" t="str">
        <f>IFERROR(LOOKUP(F38,Compatibilidade!$C$6:$C$20,Compatibilidade!$E$6:$E$20),"")</f>
        <v/>
      </c>
      <c r="J38" s="2" t="str">
        <f>IFERROR(LOOKUP(F38,Compatibilidade!$C$6:$C$20,Compatibilidade!$F$6:$F$20),"")</f>
        <v/>
      </c>
      <c r="K38" s="124">
        <v>32</v>
      </c>
      <c r="L38" s="48">
        <f>IF(COUNTIF($BK$8:$BK$22,CAPA!F40)&gt;0,CAPA!D40,
        IF(CAPA!F40=$BK$23, IF(CAPA!$I$21="Nula",0,CAPA!D40),
             IF(CAPA!F40=$BK$24, IF(CAPA!$I$22="Negativa",-ABS(CAPA!D40),0),CAPA!D40)))</f>
        <v>0</v>
      </c>
      <c r="M38" s="48">
        <f>CAPA!E40</f>
        <v>0</v>
      </c>
      <c r="N38" s="2" t="str">
        <f t="shared" si="1"/>
        <v/>
      </c>
      <c r="O38" s="8" t="str">
        <f t="shared" si="2"/>
        <v/>
      </c>
      <c r="P38" s="3" t="str">
        <f t="shared" si="3"/>
        <v/>
      </c>
      <c r="Q38" s="3">
        <f t="shared" si="21"/>
        <v>1.33</v>
      </c>
      <c r="R38" s="3">
        <f t="shared" si="4"/>
        <v>2.66</v>
      </c>
      <c r="S38" s="3">
        <f t="shared" si="22"/>
        <v>0</v>
      </c>
      <c r="T38" s="12">
        <f t="shared" si="33"/>
        <v>0</v>
      </c>
      <c r="U38" s="21">
        <f t="shared" si="23"/>
        <v>0</v>
      </c>
      <c r="V38" s="21">
        <f t="shared" si="24"/>
        <v>9.5806451612903221</v>
      </c>
      <c r="W38" s="3">
        <f t="shared" si="41"/>
        <v>0.81681408993334625</v>
      </c>
      <c r="X38" s="48">
        <f t="shared" si="45"/>
        <v>1641.6120769863419</v>
      </c>
      <c r="Y38" s="48">
        <f>IF(W38="#N/D",NA(),IF(CAPA!$I$13=0,$C$16*T38,IF(CAPA!$I$13="Rp = 0",0,IF(CAPA!$I$13="Rp &lt; RL",IF($C$16*T38&gt;X38,X38,$C$16*T38),$C$16*T38))))</f>
        <v>0</v>
      </c>
      <c r="Z38" s="48" t="e">
        <f t="shared" si="58"/>
        <v>#N/A</v>
      </c>
      <c r="AA38" s="48" t="e">
        <f>IFERROR(IF(O38="",NA(),Z38/$D$26),NA())</f>
        <v>#N/A</v>
      </c>
      <c r="AC38" t="str">
        <f t="shared" si="6"/>
        <v/>
      </c>
      <c r="AD38" s="3" t="str">
        <f t="shared" si="7"/>
        <v/>
      </c>
      <c r="AE38" s="3" t="str">
        <f t="shared" si="25"/>
        <v/>
      </c>
      <c r="AF38" s="3" t="str">
        <f t="shared" si="8"/>
        <v/>
      </c>
      <c r="AG38" s="3">
        <f t="shared" si="55"/>
        <v>0</v>
      </c>
      <c r="AH38" s="12">
        <f t="shared" si="35"/>
        <v>0</v>
      </c>
      <c r="AI38" s="21">
        <f t="shared" si="26"/>
        <v>0</v>
      </c>
      <c r="AJ38" s="21">
        <f t="shared" si="10"/>
        <v>9.5806451612903221</v>
      </c>
      <c r="AK38" s="3">
        <f t="shared" si="11"/>
        <v>0.81681408993334625</v>
      </c>
      <c r="AL38" s="48" t="e">
        <f t="shared" si="56"/>
        <v>#N/A</v>
      </c>
      <c r="AM38" s="12" t="e">
        <f>IF(AK38="#N/D",NA(),
        IF(CAPA!$I$13=0,AE38*$C$16*AH38,
             IF(CAPA!$I$13="Rp = 0",0,
                  IF(CAPA!$I$13="Rp &lt; RL",IF(AE38*$C$16*AH38&gt;AL38,AL38,AE38*$C$16*AH38),AE38*$C$16*AH38))))</f>
        <v>#VALUE!</v>
      </c>
      <c r="AN38" s="46" t="e">
        <f t="shared" si="57"/>
        <v>#N/A</v>
      </c>
      <c r="AO38" s="46" t="e">
        <f t="shared" si="27"/>
        <v>#N/A</v>
      </c>
      <c r="AQ38" t="str">
        <f t="shared" si="13"/>
        <v/>
      </c>
      <c r="AR38" s="3" t="str">
        <f t="shared" si="14"/>
        <v/>
      </c>
      <c r="AS38" s="3">
        <f t="shared" si="28"/>
        <v>4</v>
      </c>
      <c r="AT38" s="19">
        <f t="shared" si="37"/>
        <v>0</v>
      </c>
      <c r="AU38" s="12">
        <f t="shared" si="38"/>
        <v>0</v>
      </c>
      <c r="AV38" s="21">
        <f t="shared" si="29"/>
        <v>0</v>
      </c>
      <c r="AW38" s="21">
        <f t="shared" si="15"/>
        <v>9.5806451612903221</v>
      </c>
      <c r="AX38" s="3">
        <f t="shared" si="16"/>
        <v>0.81681408993334625</v>
      </c>
      <c r="AY38" s="48">
        <f t="shared" si="39"/>
        <v>970.37513884081534</v>
      </c>
      <c r="AZ38" s="19">
        <f>IF(K38&lt;=$C$28,NA(),IF(CAPA!$I$13=0,$C$16*AU38,IF(CAPA!$I$13="Rp = 0",0,IF(CAPA!$I$13="Rp &lt; RL",IF($C$16*AU38&gt;AY38,AY38,$C$16*AU38),$C$16*AU38))))</f>
        <v>0</v>
      </c>
      <c r="BA38" s="11" t="e">
        <f t="shared" si="17"/>
        <v>#N/A</v>
      </c>
      <c r="BB38" s="11" t="e">
        <f t="shared" si="18"/>
        <v>#N/A</v>
      </c>
      <c r="BD38" s="2" t="e">
        <f t="shared" si="19"/>
        <v>#N/A</v>
      </c>
      <c r="BE38" s="48" t="e">
        <f t="shared" si="30"/>
        <v>#N/A</v>
      </c>
      <c r="BF38" s="12" t="e">
        <f t="shared" si="31"/>
        <v>#VALUE!</v>
      </c>
      <c r="BG38" s="11" t="e">
        <f t="shared" si="20"/>
        <v>#N/A</v>
      </c>
      <c r="BH38" s="11" t="e">
        <f t="shared" si="40"/>
        <v>#N/A</v>
      </c>
      <c r="BV38" s="3"/>
      <c r="BX38" s="3"/>
      <c r="BZ38" s="3"/>
      <c r="CB38" s="2"/>
      <c r="CC38" s="2"/>
      <c r="CD38" s="2"/>
      <c r="CT38" s="263"/>
      <c r="DH38">
        <v>-37</v>
      </c>
    </row>
    <row r="39" spans="1:112">
      <c r="A39" t="s">
        <v>138</v>
      </c>
      <c r="B39" s="5" t="s">
        <v>77</v>
      </c>
      <c r="C39" s="48">
        <f>IF(C36=0,"",LOOKUP((C29),E7:E56,X7:X56))</f>
        <v>375.85731055579538</v>
      </c>
      <c r="E39" s="2">
        <v>33</v>
      </c>
      <c r="F39" s="5">
        <f>IFERROR(LOOKUP(E39,CAPA!$C$8:$C$57,CAPA!$F$8:$F$57),"")</f>
        <v>0</v>
      </c>
      <c r="G39" s="2" t="str">
        <f t="shared" ref="G39:G56" si="59">IFERROR(LOOKUP(F39,$BK$8:$BK$22,$BJ$8:$BJ$22),"")</f>
        <v/>
      </c>
      <c r="H39" s="2" t="str">
        <f>IFERROR(LOOKUP(F39,Compatibilidade!$C$6:$C$20,Compatibilidade!$D$6:$D$20),"")</f>
        <v/>
      </c>
      <c r="I39" s="2" t="str">
        <f>IFERROR(LOOKUP(F39,Compatibilidade!$C$6:$C$20,Compatibilidade!$E$6:$E$20),"")</f>
        <v/>
      </c>
      <c r="J39" s="2" t="str">
        <f>IFERROR(LOOKUP(F39,Compatibilidade!$C$6:$C$20,Compatibilidade!$F$6:$F$20),"")</f>
        <v/>
      </c>
      <c r="K39" s="124">
        <v>33</v>
      </c>
      <c r="L39" s="48">
        <f>IF(COUNTIF($BK$8:$BK$22,CAPA!F41)&gt;0,CAPA!D41,
        IF(CAPA!F41=$BK$23, IF(CAPA!$I$21="Nula",0,CAPA!D41),
             IF(CAPA!F41=$BK$24, IF(CAPA!$I$22="Negativa",-ABS(CAPA!D41),0),CAPA!D41)))</f>
        <v>0</v>
      </c>
      <c r="M39" s="48">
        <f>CAPA!E41</f>
        <v>0</v>
      </c>
      <c r="N39" s="2" t="str">
        <f t="shared" ref="N39:N56" si="60">IF(AND(E39&gt;$C$28,E39&lt;=$C$29),1,"")</f>
        <v/>
      </c>
      <c r="O39" s="8" t="str">
        <f t="shared" ref="O39:O56" si="61">IFERROR(LOOKUP(F39,$BK$8:$BK$22,$BM$8:$BM$22),"")</f>
        <v/>
      </c>
      <c r="P39" s="3" t="str">
        <f t="shared" ref="P39:P56" si="62">IFERROR(LOOKUP(F39,$BK$8:$BK$22,$BL$8:$BL$22),"")</f>
        <v/>
      </c>
      <c r="Q39" s="3">
        <f t="shared" ref="Q39:Q56" si="63">IFERROR(LOOKUP($C$5,$BO$8:$BO$17,$BP$8:$BP$17),"")</f>
        <v>1.33</v>
      </c>
      <c r="R39" s="3">
        <f t="shared" ref="R39:R56" si="64">IFERROR(LOOKUP($C$5,$BO$8:$BO$17,$BQ$8:$BQ$17),"")</f>
        <v>2.66</v>
      </c>
      <c r="S39" s="3">
        <f t="shared" si="22"/>
        <v>0</v>
      </c>
      <c r="T39" s="12">
        <f t="shared" si="33"/>
        <v>0</v>
      </c>
      <c r="U39" s="21">
        <f t="shared" si="23"/>
        <v>0</v>
      </c>
      <c r="V39" s="21">
        <f t="shared" ref="V39:V56" si="65">IF(E39&gt;$C$28,((K38-$C$28)*AW38+L39)/(K39-$C$28),0)</f>
        <v>9.28125</v>
      </c>
      <c r="W39" s="3">
        <f t="shared" si="41"/>
        <v>0.81681408993334625</v>
      </c>
      <c r="X39" s="48">
        <f t="shared" si="45"/>
        <v>1641.6120769863419</v>
      </c>
      <c r="Y39" s="48">
        <f>IF(W39="#N/D",NA(),IF(CAPA!$I$13=0,$C$16*T39,IF(CAPA!$I$13="Rp = 0",0,IF(CAPA!$I$13="Rp &lt; RL",IF($C$16*T39&gt;X39,X39,$C$16*T39),$C$16*T39))))</f>
        <v>0</v>
      </c>
      <c r="Z39" s="48" t="e">
        <f t="shared" si="58"/>
        <v>#N/A</v>
      </c>
      <c r="AA39" s="48" t="e">
        <f t="shared" si="34"/>
        <v>#N/A</v>
      </c>
      <c r="AC39" t="str">
        <f t="shared" ref="AC39:AC56" si="66">IF(AND(E39&gt;$C$28,E39&lt;=$C$29),1,"")</f>
        <v/>
      </c>
      <c r="AD39" s="3" t="str">
        <f t="shared" ref="AD39:AD56" si="67">IFERROR(LOOKUP(H39,$BT$8:$BT$11,$BU$8:$BU$11),"")</f>
        <v/>
      </c>
      <c r="AE39" s="3" t="str">
        <f t="shared" ref="AE39:AE56" si="68">IFERROR(LOOKUP(I39,$BS$21:$BS$23,$CD$21:$CD$23),"")</f>
        <v/>
      </c>
      <c r="AF39" s="3" t="str">
        <f t="shared" ref="AF39:AF56" si="69">IFERROR(LOOKUP(I39,$BS$27:$BS$29,$CD$27:$CD$29),"")</f>
        <v/>
      </c>
      <c r="AG39" s="3">
        <f t="shared" si="55"/>
        <v>0</v>
      </c>
      <c r="AH39" s="12">
        <f t="shared" si="35"/>
        <v>0</v>
      </c>
      <c r="AI39" s="21">
        <f t="shared" si="26"/>
        <v>0</v>
      </c>
      <c r="AJ39" s="21">
        <f t="shared" ref="AJ39:AJ56" si="70">IF(E39&gt;$C$28,((K38-$C$28)*AW38+L39)/(K39-$C$28),0)</f>
        <v>9.28125</v>
      </c>
      <c r="AK39" s="3">
        <f t="shared" ref="AK39:AK56" si="71">W39</f>
        <v>0.81681408993334625</v>
      </c>
      <c r="AL39" s="48" t="e">
        <f t="shared" si="56"/>
        <v>#N/A</v>
      </c>
      <c r="AM39" s="12" t="e">
        <f>IF(AK39="#N/D",NA(),
        IF(CAPA!$I$13=0,AE39*$C$16*AH39,
             IF(CAPA!$I$13="Rp = 0",0,
                  IF(CAPA!$I$13="Rp &lt; RL",IF(AE39*$C$16*AH39&gt;AL39,AL39,AE39*$C$16*AH39),AE39*$C$16*AH39))))</f>
        <v>#VALUE!</v>
      </c>
      <c r="AN39" s="46" t="e">
        <f t="shared" si="57"/>
        <v>#N/A</v>
      </c>
      <c r="AO39" s="46" t="e">
        <f t="shared" si="27"/>
        <v>#N/A</v>
      </c>
      <c r="AQ39" t="str">
        <f t="shared" ref="AQ39:AQ56" si="72">AC39</f>
        <v/>
      </c>
      <c r="AR39" s="3" t="str">
        <f t="shared" ref="AR39:AR56" si="73">IFERROR(LOOKUP(J39,$CF$24:$CF$31,$CQ$24:$CQ$31),"")</f>
        <v/>
      </c>
      <c r="AS39" s="3">
        <f t="shared" si="28"/>
        <v>4</v>
      </c>
      <c r="AT39" s="19">
        <f t="shared" ref="AT39:AT56" si="74">IFERROR(AS39*L39,"")</f>
        <v>0</v>
      </c>
      <c r="AU39" s="12">
        <f t="shared" si="38"/>
        <v>0</v>
      </c>
      <c r="AV39" s="21">
        <f t="shared" si="29"/>
        <v>0</v>
      </c>
      <c r="AW39" s="21">
        <f t="shared" ref="AW39:AW56" si="75">IF(E39&gt;$C$28,((K38-$C$28)*AW38+L39)/(K39-$C$28),0)</f>
        <v>9.28125</v>
      </c>
      <c r="AX39" s="3">
        <f t="shared" ref="AX39:AX56" si="76">AK39</f>
        <v>0.81681408993334625</v>
      </c>
      <c r="AY39" s="48">
        <f t="shared" si="39"/>
        <v>970.37513884081534</v>
      </c>
      <c r="AZ39" s="19">
        <f>IF(K39&lt;=$C$28,NA(),IF(CAPA!$I$13=0,$C$16*AU39,IF(CAPA!$I$13="Rp = 0",0,IF(CAPA!$I$13="Rp &lt; RL",IF($C$16*AU39&gt;AY39,AY39,$C$16*AU39),$C$16*AU39))))</f>
        <v>0</v>
      </c>
      <c r="BA39" s="11" t="e">
        <f t="shared" ref="BA39:BA56" si="77">IFERROR(IF(O39="",NA(),IF(K39&lt;=$C$28,NA(),AY39+AZ39)),NA())</f>
        <v>#N/A</v>
      </c>
      <c r="BB39" s="11" t="e">
        <f t="shared" ref="BB39:BB56" si="78">IFERROR(IF(O39="",NA(),IF(OR($C$5="D-Escavada",$C$5="H-Escavada (bentonita)",$C$5="J-Strauss"),(AY39/$C$24+AZ39/$C$25),(BA39/$C$26))),NA())</f>
        <v>#N/A</v>
      </c>
      <c r="BD39" s="2" t="e">
        <f t="shared" ref="BD39:BD56" si="79">(X39+AL39+AY39)/AX39</f>
        <v>#N/A</v>
      </c>
      <c r="BE39" s="48" t="e">
        <f t="shared" si="30"/>
        <v>#N/A</v>
      </c>
      <c r="BF39" s="12" t="e">
        <f t="shared" si="31"/>
        <v>#VALUE!</v>
      </c>
      <c r="BG39" s="11" t="e">
        <f t="shared" ref="BG39:BG56" si="80">(BA39+Z39+AN39)/3</f>
        <v>#N/A</v>
      </c>
      <c r="BH39" s="11" t="e">
        <f t="shared" si="40"/>
        <v>#N/A</v>
      </c>
      <c r="BT39" s="1"/>
      <c r="BU39" s="3"/>
      <c r="BV39" s="3"/>
      <c r="CB39" s="2"/>
      <c r="CC39" s="2"/>
      <c r="CD39" s="2"/>
      <c r="CT39" s="263"/>
      <c r="DH39">
        <v>-38</v>
      </c>
    </row>
    <row r="40" spans="1:112">
      <c r="B40" s="5" t="s">
        <v>141</v>
      </c>
      <c r="C40" s="48">
        <f>IF(C36=0,"",LOOKUP((C29-1),E7:E56,Z7:Z56))</f>
        <v>541.67671227158758</v>
      </c>
      <c r="E40" s="2">
        <v>34</v>
      </c>
      <c r="F40" s="5">
        <f>IFERROR(LOOKUP(E40,CAPA!$C$8:$C$57,CAPA!$F$8:$F$57),"")</f>
        <v>0</v>
      </c>
      <c r="G40" s="2" t="str">
        <f t="shared" si="59"/>
        <v/>
      </c>
      <c r="H40" s="2" t="str">
        <f>IFERROR(LOOKUP(F40,Compatibilidade!$C$6:$C$20,Compatibilidade!$D$6:$D$20),"")</f>
        <v/>
      </c>
      <c r="I40" s="2" t="str">
        <f>IFERROR(LOOKUP(F40,Compatibilidade!$C$6:$C$20,Compatibilidade!$E$6:$E$20),"")</f>
        <v/>
      </c>
      <c r="J40" s="2" t="str">
        <f>IFERROR(LOOKUP(F40,Compatibilidade!$C$6:$C$20,Compatibilidade!$F$6:$F$20),"")</f>
        <v/>
      </c>
      <c r="K40" s="124">
        <v>34</v>
      </c>
      <c r="L40" s="48">
        <f>IF(COUNTIF($BK$8:$BK$22,CAPA!F42)&gt;0,CAPA!D42,
        IF(CAPA!F42=$BK$23, IF(CAPA!$I$21="Nula",0,CAPA!D42),
             IF(CAPA!F42=$BK$24, IF(CAPA!$I$22="Negativa",-ABS(CAPA!D42),0),CAPA!D42)))</f>
        <v>0</v>
      </c>
      <c r="M40" s="48">
        <f>CAPA!E42</f>
        <v>0</v>
      </c>
      <c r="N40" s="2" t="str">
        <f t="shared" si="60"/>
        <v/>
      </c>
      <c r="O40" s="8" t="str">
        <f t="shared" si="61"/>
        <v/>
      </c>
      <c r="P40" s="3" t="str">
        <f t="shared" si="62"/>
        <v/>
      </c>
      <c r="Q40" s="3">
        <f t="shared" si="63"/>
        <v>1.33</v>
      </c>
      <c r="R40" s="3">
        <f t="shared" si="64"/>
        <v>2.66</v>
      </c>
      <c r="S40" s="3">
        <f t="shared" si="22"/>
        <v>0</v>
      </c>
      <c r="T40" s="12">
        <f t="shared" si="33"/>
        <v>0</v>
      </c>
      <c r="U40" s="21">
        <f t="shared" si="23"/>
        <v>0</v>
      </c>
      <c r="V40" s="21">
        <f t="shared" si="65"/>
        <v>9</v>
      </c>
      <c r="W40" s="3">
        <f t="shared" si="41"/>
        <v>0.81681408993334625</v>
      </c>
      <c r="X40" s="48">
        <f t="shared" si="45"/>
        <v>1641.6120769863419</v>
      </c>
      <c r="Y40" s="48">
        <f>IF(W40="#N/D",NA(),IF(CAPA!$I$13=0,$C$16*T40,IF(CAPA!$I$13="Rp = 0",0,IF(CAPA!$I$13="Rp &lt; RL",IF($C$16*T40&gt;X40,X40,$C$16*T40),$C$16*T40))))</f>
        <v>0</v>
      </c>
      <c r="Z40" s="48" t="e">
        <f t="shared" si="58"/>
        <v>#N/A</v>
      </c>
      <c r="AA40" s="48" t="e">
        <f t="shared" si="34"/>
        <v>#N/A</v>
      </c>
      <c r="AC40" t="str">
        <f t="shared" si="66"/>
        <v/>
      </c>
      <c r="AD40" s="3" t="str">
        <f t="shared" si="67"/>
        <v/>
      </c>
      <c r="AE40" s="3" t="str">
        <f t="shared" si="68"/>
        <v/>
      </c>
      <c r="AF40" s="3" t="str">
        <f t="shared" si="69"/>
        <v/>
      </c>
      <c r="AG40" s="3">
        <f t="shared" si="55"/>
        <v>0</v>
      </c>
      <c r="AH40" s="12">
        <f t="shared" si="35"/>
        <v>0</v>
      </c>
      <c r="AI40" s="21">
        <f t="shared" si="26"/>
        <v>0</v>
      </c>
      <c r="AJ40" s="21">
        <f t="shared" si="70"/>
        <v>9</v>
      </c>
      <c r="AK40" s="3">
        <f t="shared" si="71"/>
        <v>0.81681408993334625</v>
      </c>
      <c r="AL40" s="48" t="e">
        <f t="shared" si="56"/>
        <v>#N/A</v>
      </c>
      <c r="AM40" s="12" t="e">
        <f>IF(AK40="#N/D",NA(),
        IF(CAPA!$I$13=0,AE40*$C$16*AH40,
             IF(CAPA!$I$13="Rp = 0",0,
                  IF(CAPA!$I$13="Rp &lt; RL",IF(AE40*$C$16*AH40&gt;AL40,AL40,AE40*$C$16*AH40),AE40*$C$16*AH40))))</f>
        <v>#VALUE!</v>
      </c>
      <c r="AN40" s="46" t="e">
        <f t="shared" si="57"/>
        <v>#N/A</v>
      </c>
      <c r="AO40" s="46" t="e">
        <f t="shared" si="27"/>
        <v>#N/A</v>
      </c>
      <c r="AQ40" t="str">
        <f t="shared" si="72"/>
        <v/>
      </c>
      <c r="AR40" s="3" t="str">
        <f t="shared" si="73"/>
        <v/>
      </c>
      <c r="AS40" s="3">
        <f t="shared" si="28"/>
        <v>4</v>
      </c>
      <c r="AT40" s="19">
        <f t="shared" si="74"/>
        <v>0</v>
      </c>
      <c r="AU40" s="12">
        <f t="shared" si="38"/>
        <v>0</v>
      </c>
      <c r="AV40" s="21">
        <f t="shared" si="29"/>
        <v>0</v>
      </c>
      <c r="AW40" s="21">
        <f t="shared" si="75"/>
        <v>9</v>
      </c>
      <c r="AX40" s="3">
        <f t="shared" si="76"/>
        <v>0.81681408993334625</v>
      </c>
      <c r="AY40" s="48">
        <f t="shared" ref="AY40:AY56" si="81">IF(K40&lt;=$C$28,NA(),IFERROR(AX40*AT40+AY39,AX40*AT40))</f>
        <v>970.37513884081534</v>
      </c>
      <c r="AZ40" s="19">
        <f>IF(K40&lt;=$C$28,NA(),IF(CAPA!$I$13=0,$C$16*AU40,IF(CAPA!$I$13="Rp = 0",0,IF(CAPA!$I$13="Rp &lt; RL",IF($C$16*AU40&gt;AY40,AY40,$C$16*AU40),$C$16*AU40))))</f>
        <v>0</v>
      </c>
      <c r="BA40" s="11" t="e">
        <f t="shared" si="77"/>
        <v>#N/A</v>
      </c>
      <c r="BB40" s="11" t="e">
        <f t="shared" si="78"/>
        <v>#N/A</v>
      </c>
      <c r="BD40" s="2" t="e">
        <f t="shared" si="79"/>
        <v>#N/A</v>
      </c>
      <c r="BE40" s="48" t="e">
        <f t="shared" si="30"/>
        <v>#N/A</v>
      </c>
      <c r="BF40" s="12" t="e">
        <f t="shared" si="31"/>
        <v>#VALUE!</v>
      </c>
      <c r="BG40" s="11" t="e">
        <f t="shared" si="80"/>
        <v>#N/A</v>
      </c>
      <c r="BH40" s="11" t="e">
        <f t="shared" si="40"/>
        <v>#N/A</v>
      </c>
      <c r="BT40" s="1"/>
      <c r="BU40" s="3"/>
      <c r="BV40" s="3"/>
      <c r="CB40" s="2"/>
      <c r="CC40" s="2"/>
      <c r="CD40" s="2"/>
      <c r="CT40" s="263"/>
      <c r="DH40">
        <v>-39</v>
      </c>
    </row>
    <row r="41" spans="1:112">
      <c r="C41" s="3"/>
      <c r="E41" s="2">
        <v>35</v>
      </c>
      <c r="F41" s="5">
        <f>IFERROR(LOOKUP(E41,CAPA!$C$8:$C$57,CAPA!$F$8:$F$57),"")</f>
        <v>0</v>
      </c>
      <c r="G41" s="2" t="str">
        <f t="shared" si="59"/>
        <v/>
      </c>
      <c r="H41" s="2" t="str">
        <f>IFERROR(LOOKUP(F41,Compatibilidade!$C$6:$C$20,Compatibilidade!$D$6:$D$20),"")</f>
        <v/>
      </c>
      <c r="I41" s="2" t="str">
        <f>IFERROR(LOOKUP(F41,Compatibilidade!$C$6:$C$20,Compatibilidade!$E$6:$E$20),"")</f>
        <v/>
      </c>
      <c r="J41" s="2" t="str">
        <f>IFERROR(LOOKUP(F41,Compatibilidade!$C$6:$C$20,Compatibilidade!$F$6:$F$20),"")</f>
        <v/>
      </c>
      <c r="K41" s="124">
        <v>35</v>
      </c>
      <c r="L41" s="48">
        <f>IF(COUNTIF($BK$8:$BK$22,CAPA!F43)&gt;0,CAPA!D43,
        IF(CAPA!F43=$BK$23, IF(CAPA!$I$21="Nula",0,CAPA!D43),
             IF(CAPA!F43=$BK$24, IF(CAPA!$I$22="Negativa",-ABS(CAPA!D43),0),CAPA!D43)))</f>
        <v>0</v>
      </c>
      <c r="M41" s="48">
        <f>CAPA!E43</f>
        <v>0</v>
      </c>
      <c r="N41" s="2" t="str">
        <f t="shared" si="60"/>
        <v/>
      </c>
      <c r="O41" s="8" t="str">
        <f t="shared" si="61"/>
        <v/>
      </c>
      <c r="P41" s="3" t="str">
        <f t="shared" si="62"/>
        <v/>
      </c>
      <c r="Q41" s="3">
        <f t="shared" si="63"/>
        <v>1.33</v>
      </c>
      <c r="R41" s="3">
        <f t="shared" si="64"/>
        <v>2.66</v>
      </c>
      <c r="S41" s="3">
        <f t="shared" si="22"/>
        <v>0</v>
      </c>
      <c r="T41" s="12">
        <f t="shared" si="33"/>
        <v>0</v>
      </c>
      <c r="U41" s="21">
        <f t="shared" si="23"/>
        <v>0</v>
      </c>
      <c r="V41" s="21">
        <f t="shared" si="65"/>
        <v>8.735294117647058</v>
      </c>
      <c r="W41" s="3">
        <f t="shared" si="41"/>
        <v>0.81681408993334625</v>
      </c>
      <c r="X41" s="48">
        <f t="shared" si="45"/>
        <v>1641.6120769863419</v>
      </c>
      <c r="Y41" s="48">
        <f>IF(W41="#N/D",NA(),IF(CAPA!$I$13=0,$C$16*T41,IF(CAPA!$I$13="Rp = 0",0,IF(CAPA!$I$13="Rp &lt; RL",IF($C$16*T41&gt;X41,X41,$C$16*T41),$C$16*T41))))</f>
        <v>0</v>
      </c>
      <c r="Z41" s="48" t="e">
        <f t="shared" si="58"/>
        <v>#N/A</v>
      </c>
      <c r="AA41" s="48" t="e">
        <f t="shared" si="34"/>
        <v>#N/A</v>
      </c>
      <c r="AC41" t="str">
        <f t="shared" si="66"/>
        <v/>
      </c>
      <c r="AD41" s="3" t="str">
        <f t="shared" si="67"/>
        <v/>
      </c>
      <c r="AE41" s="3" t="str">
        <f t="shared" si="68"/>
        <v/>
      </c>
      <c r="AF41" s="3" t="str">
        <f t="shared" si="69"/>
        <v/>
      </c>
      <c r="AG41" s="3">
        <f t="shared" si="55"/>
        <v>0</v>
      </c>
      <c r="AH41" s="12">
        <f t="shared" si="35"/>
        <v>0</v>
      </c>
      <c r="AI41" s="21">
        <f t="shared" si="26"/>
        <v>0</v>
      </c>
      <c r="AJ41" s="21">
        <f t="shared" si="70"/>
        <v>8.735294117647058</v>
      </c>
      <c r="AK41" s="3">
        <f t="shared" si="71"/>
        <v>0.81681408993334625</v>
      </c>
      <c r="AL41" s="48" t="e">
        <f t="shared" si="56"/>
        <v>#N/A</v>
      </c>
      <c r="AM41" s="12" t="e">
        <f>IF(AK41="#N/D",NA(),
        IF(CAPA!$I$13=0,AE41*$C$16*AH41,
             IF(CAPA!$I$13="Rp = 0",0,
                  IF(CAPA!$I$13="Rp &lt; RL",IF(AE41*$C$16*AH41&gt;AL41,AL41,AE41*$C$16*AH41),AE41*$C$16*AH41))))</f>
        <v>#VALUE!</v>
      </c>
      <c r="AN41" s="46" t="e">
        <f t="shared" si="57"/>
        <v>#N/A</v>
      </c>
      <c r="AO41" s="46" t="e">
        <f t="shared" si="27"/>
        <v>#N/A</v>
      </c>
      <c r="AQ41" t="str">
        <f t="shared" si="72"/>
        <v/>
      </c>
      <c r="AR41" s="3" t="str">
        <f t="shared" si="73"/>
        <v/>
      </c>
      <c r="AS41" s="3">
        <f t="shared" si="28"/>
        <v>4</v>
      </c>
      <c r="AT41" s="19">
        <f t="shared" si="74"/>
        <v>0</v>
      </c>
      <c r="AU41" s="12">
        <f t="shared" si="38"/>
        <v>0</v>
      </c>
      <c r="AV41" s="21">
        <f t="shared" si="29"/>
        <v>0</v>
      </c>
      <c r="AW41" s="21">
        <f t="shared" si="75"/>
        <v>8.735294117647058</v>
      </c>
      <c r="AX41" s="3">
        <f t="shared" si="76"/>
        <v>0.81681408993334625</v>
      </c>
      <c r="AY41" s="48">
        <f t="shared" si="81"/>
        <v>970.37513884081534</v>
      </c>
      <c r="AZ41" s="19">
        <f>IF(K41&lt;=$C$28,NA(),IF(CAPA!$I$13=0,$C$16*AU41,IF(CAPA!$I$13="Rp = 0",0,IF(CAPA!$I$13="Rp &lt; RL",IF($C$16*AU41&gt;AY41,AY41,$C$16*AU41),$C$16*AU41))))</f>
        <v>0</v>
      </c>
      <c r="BA41" s="11" t="e">
        <f t="shared" si="77"/>
        <v>#N/A</v>
      </c>
      <c r="BB41" s="11" t="e">
        <f t="shared" si="78"/>
        <v>#N/A</v>
      </c>
      <c r="BD41" s="2" t="e">
        <f t="shared" si="79"/>
        <v>#N/A</v>
      </c>
      <c r="BE41" s="48" t="e">
        <f t="shared" si="30"/>
        <v>#N/A</v>
      </c>
      <c r="BF41" s="12" t="e">
        <f t="shared" si="31"/>
        <v>#VALUE!</v>
      </c>
      <c r="BG41" s="11" t="e">
        <f t="shared" si="80"/>
        <v>#N/A</v>
      </c>
      <c r="BH41" s="11" t="e">
        <f t="shared" si="40"/>
        <v>#N/A</v>
      </c>
      <c r="CB41" s="2"/>
      <c r="CC41" s="2"/>
      <c r="CD41" s="2"/>
      <c r="CT41" s="263"/>
      <c r="DH41">
        <v>-40</v>
      </c>
    </row>
    <row r="42" spans="1:112">
      <c r="C42" s="3"/>
      <c r="E42" s="2">
        <v>36</v>
      </c>
      <c r="F42" s="5">
        <f>IFERROR(LOOKUP(E42,CAPA!$C$8:$C$57,CAPA!$F$8:$F$57),"")</f>
        <v>0</v>
      </c>
      <c r="G42" s="2" t="str">
        <f t="shared" si="59"/>
        <v/>
      </c>
      <c r="H42" s="2" t="str">
        <f>IFERROR(LOOKUP(F42,Compatibilidade!$C$6:$C$20,Compatibilidade!$D$6:$D$20),"")</f>
        <v/>
      </c>
      <c r="I42" s="2" t="str">
        <f>IFERROR(LOOKUP(F42,Compatibilidade!$C$6:$C$20,Compatibilidade!$E$6:$E$20),"")</f>
        <v/>
      </c>
      <c r="J42" s="2" t="str">
        <f>IFERROR(LOOKUP(F42,Compatibilidade!$C$6:$C$20,Compatibilidade!$F$6:$F$20),"")</f>
        <v/>
      </c>
      <c r="K42" s="124">
        <v>36</v>
      </c>
      <c r="L42" s="48">
        <f>IF(COUNTIF($BK$8:$BK$22,CAPA!F44)&gt;0,CAPA!D44,
        IF(CAPA!F44=$BK$23, IF(CAPA!$I$21="Nula",0,CAPA!D44),
             IF(CAPA!F44=$BK$24, IF(CAPA!$I$22="Negativa",-ABS(CAPA!D44),0),CAPA!D44)))</f>
        <v>0</v>
      </c>
      <c r="M42" s="48">
        <f>CAPA!E44</f>
        <v>0</v>
      </c>
      <c r="N42" s="2" t="str">
        <f t="shared" si="60"/>
        <v/>
      </c>
      <c r="O42" s="8" t="str">
        <f t="shared" si="61"/>
        <v/>
      </c>
      <c r="P42" s="3" t="str">
        <f t="shared" si="62"/>
        <v/>
      </c>
      <c r="Q42" s="3">
        <f t="shared" si="63"/>
        <v>1.33</v>
      </c>
      <c r="R42" s="3">
        <f t="shared" si="64"/>
        <v>2.66</v>
      </c>
      <c r="S42" s="3">
        <f t="shared" si="22"/>
        <v>0</v>
      </c>
      <c r="T42" s="12">
        <f t="shared" si="33"/>
        <v>0</v>
      </c>
      <c r="U42" s="21">
        <f t="shared" si="23"/>
        <v>0</v>
      </c>
      <c r="V42" s="21">
        <f t="shared" si="65"/>
        <v>8.4857142857142858</v>
      </c>
      <c r="W42" s="3">
        <f t="shared" si="41"/>
        <v>0.81681408993334625</v>
      </c>
      <c r="X42" s="48">
        <f t="shared" si="45"/>
        <v>1641.6120769863419</v>
      </c>
      <c r="Y42" s="48">
        <f>IF(W42="#N/D",NA(),IF(CAPA!$I$13=0,$C$16*T42,IF(CAPA!$I$13="Rp = 0",0,IF(CAPA!$I$13="Rp &lt; RL",IF($C$16*T42&gt;X42,X42,$C$16*T42),$C$16*T42))))</f>
        <v>0</v>
      </c>
      <c r="Z42" s="48" t="e">
        <f t="shared" si="58"/>
        <v>#N/A</v>
      </c>
      <c r="AA42" s="48" t="e">
        <f t="shared" si="34"/>
        <v>#N/A</v>
      </c>
      <c r="AC42" t="str">
        <f t="shared" si="66"/>
        <v/>
      </c>
      <c r="AD42" s="3" t="str">
        <f t="shared" si="67"/>
        <v/>
      </c>
      <c r="AE42" s="3" t="str">
        <f t="shared" si="68"/>
        <v/>
      </c>
      <c r="AF42" s="3" t="str">
        <f t="shared" si="69"/>
        <v/>
      </c>
      <c r="AG42" s="3">
        <f t="shared" si="55"/>
        <v>0</v>
      </c>
      <c r="AH42" s="12">
        <f t="shared" si="35"/>
        <v>0</v>
      </c>
      <c r="AI42" s="21">
        <f t="shared" si="26"/>
        <v>0</v>
      </c>
      <c r="AJ42" s="21">
        <f t="shared" si="70"/>
        <v>8.4857142857142858</v>
      </c>
      <c r="AK42" s="3">
        <f t="shared" si="71"/>
        <v>0.81681408993334625</v>
      </c>
      <c r="AL42" s="48" t="e">
        <f t="shared" si="56"/>
        <v>#N/A</v>
      </c>
      <c r="AM42" s="12" t="e">
        <f>IF(AK42="#N/D",NA(),
        IF(CAPA!$I$13=0,AE42*$C$16*AH42,
             IF(CAPA!$I$13="Rp = 0",0,
                  IF(CAPA!$I$13="Rp &lt; RL",IF(AE42*$C$16*AH42&gt;AL42,AL42,AE42*$C$16*AH42),AE42*$C$16*AH42))))</f>
        <v>#VALUE!</v>
      </c>
      <c r="AN42" s="46" t="e">
        <f t="shared" si="57"/>
        <v>#N/A</v>
      </c>
      <c r="AO42" s="46" t="e">
        <f t="shared" si="27"/>
        <v>#N/A</v>
      </c>
      <c r="AQ42" t="str">
        <f t="shared" si="72"/>
        <v/>
      </c>
      <c r="AR42" s="3" t="str">
        <f t="shared" si="73"/>
        <v/>
      </c>
      <c r="AS42" s="3">
        <f t="shared" si="28"/>
        <v>4</v>
      </c>
      <c r="AT42" s="19">
        <f t="shared" si="74"/>
        <v>0</v>
      </c>
      <c r="AU42" s="12">
        <f t="shared" si="38"/>
        <v>0</v>
      </c>
      <c r="AV42" s="21">
        <f t="shared" si="29"/>
        <v>0</v>
      </c>
      <c r="AW42" s="21">
        <f t="shared" si="75"/>
        <v>8.4857142857142858</v>
      </c>
      <c r="AX42" s="3">
        <f t="shared" si="76"/>
        <v>0.81681408993334625</v>
      </c>
      <c r="AY42" s="48">
        <f t="shared" si="81"/>
        <v>970.37513884081534</v>
      </c>
      <c r="AZ42" s="19">
        <f>IF(K42&lt;=$C$28,NA(),IF(CAPA!$I$13=0,$C$16*AU42,IF(CAPA!$I$13="Rp = 0",0,IF(CAPA!$I$13="Rp &lt; RL",IF($C$16*AU42&gt;AY42,AY42,$C$16*AU42),$C$16*AU42))))</f>
        <v>0</v>
      </c>
      <c r="BA42" s="11" t="e">
        <f t="shared" si="77"/>
        <v>#N/A</v>
      </c>
      <c r="BB42" s="11" t="e">
        <f t="shared" si="78"/>
        <v>#N/A</v>
      </c>
      <c r="BD42" s="2" t="e">
        <f t="shared" si="79"/>
        <v>#N/A</v>
      </c>
      <c r="BE42" s="48" t="e">
        <f t="shared" si="30"/>
        <v>#N/A</v>
      </c>
      <c r="BF42" s="12" t="e">
        <f t="shared" si="31"/>
        <v>#VALUE!</v>
      </c>
      <c r="BG42" s="11" t="e">
        <f t="shared" si="80"/>
        <v>#N/A</v>
      </c>
      <c r="BH42" s="11" t="e">
        <f t="shared" si="40"/>
        <v>#N/A</v>
      </c>
      <c r="CT42" s="263"/>
      <c r="DH42">
        <v>-41</v>
      </c>
    </row>
    <row r="43" spans="1:112">
      <c r="C43" s="3"/>
      <c r="E43" s="2">
        <v>37</v>
      </c>
      <c r="F43" s="5">
        <f>IFERROR(LOOKUP(E43,CAPA!$C$8:$C$57,CAPA!$F$8:$F$57),"")</f>
        <v>0</v>
      </c>
      <c r="G43" s="2" t="str">
        <f t="shared" si="59"/>
        <v/>
      </c>
      <c r="H43" s="2" t="str">
        <f>IFERROR(LOOKUP(F43,Compatibilidade!$C$6:$C$20,Compatibilidade!$D$6:$D$20),"")</f>
        <v/>
      </c>
      <c r="I43" s="2" t="str">
        <f>IFERROR(LOOKUP(F43,Compatibilidade!$C$6:$C$20,Compatibilidade!$E$6:$E$20),"")</f>
        <v/>
      </c>
      <c r="J43" s="2" t="str">
        <f>IFERROR(LOOKUP(F43,Compatibilidade!$C$6:$C$20,Compatibilidade!$F$6:$F$20),"")</f>
        <v/>
      </c>
      <c r="K43" s="124">
        <v>37</v>
      </c>
      <c r="L43" s="48">
        <f>IF(COUNTIF($BK$8:$BK$22,CAPA!F45)&gt;0,CAPA!D45,
        IF(CAPA!F45=$BK$23, IF(CAPA!$I$21="Nula",0,CAPA!D45),
             IF(CAPA!F45=$BK$24, IF(CAPA!$I$22="Negativa",-ABS(CAPA!D45),0),CAPA!D45)))</f>
        <v>0</v>
      </c>
      <c r="M43" s="48">
        <f>CAPA!E45</f>
        <v>0</v>
      </c>
      <c r="N43" s="2" t="str">
        <f t="shared" si="60"/>
        <v/>
      </c>
      <c r="O43" s="8" t="str">
        <f t="shared" si="61"/>
        <v/>
      </c>
      <c r="P43" s="3" t="str">
        <f t="shared" si="62"/>
        <v/>
      </c>
      <c r="Q43" s="3">
        <f t="shared" si="63"/>
        <v>1.33</v>
      </c>
      <c r="R43" s="3">
        <f t="shared" si="64"/>
        <v>2.66</v>
      </c>
      <c r="S43" s="3">
        <f t="shared" si="22"/>
        <v>0</v>
      </c>
      <c r="T43" s="12">
        <f t="shared" si="33"/>
        <v>0</v>
      </c>
      <c r="U43" s="21">
        <f t="shared" si="23"/>
        <v>0</v>
      </c>
      <c r="V43" s="21">
        <f t="shared" si="65"/>
        <v>8.25</v>
      </c>
      <c r="W43" s="3">
        <f t="shared" si="41"/>
        <v>0.81681408993334625</v>
      </c>
      <c r="X43" s="48">
        <f t="shared" si="45"/>
        <v>1641.6120769863419</v>
      </c>
      <c r="Y43" s="48">
        <f>IF(W43="#N/D",NA(),IF(CAPA!$I$13=0,$C$16*T43,IF(CAPA!$I$13="Rp = 0",0,IF(CAPA!$I$13="Rp &lt; RL",IF($C$16*T43&gt;X43,X43,$C$16*T43),$C$16*T43))))</f>
        <v>0</v>
      </c>
      <c r="Z43" s="48" t="e">
        <f t="shared" ref="Z43:Z48" si="82">IF(O43="",NA(),IF(W43="#N/D",NA(),X43+Y43))</f>
        <v>#N/A</v>
      </c>
      <c r="AA43" s="48" t="e">
        <f t="shared" si="34"/>
        <v>#N/A</v>
      </c>
      <c r="AC43" t="str">
        <f t="shared" si="66"/>
        <v/>
      </c>
      <c r="AD43" s="3" t="str">
        <f t="shared" si="67"/>
        <v/>
      </c>
      <c r="AE43" s="3" t="str">
        <f t="shared" si="68"/>
        <v/>
      </c>
      <c r="AF43" s="3" t="str">
        <f t="shared" si="69"/>
        <v/>
      </c>
      <c r="AG43" s="3">
        <f t="shared" si="55"/>
        <v>0</v>
      </c>
      <c r="AH43" s="12">
        <f t="shared" si="35"/>
        <v>0</v>
      </c>
      <c r="AI43" s="21">
        <f t="shared" si="26"/>
        <v>0</v>
      </c>
      <c r="AJ43" s="21">
        <f t="shared" si="70"/>
        <v>8.25</v>
      </c>
      <c r="AK43" s="3">
        <f t="shared" si="71"/>
        <v>0.81681408993334625</v>
      </c>
      <c r="AL43" s="48" t="e">
        <f t="shared" si="56"/>
        <v>#N/A</v>
      </c>
      <c r="AM43" s="12" t="e">
        <f>IF(AK43="#N/D",NA(),
        IF(CAPA!$I$13=0,AE43*$C$16*AH43,
             IF(CAPA!$I$13="Rp = 0",0,
                  IF(CAPA!$I$13="Rp &lt; RL",IF(AE43*$C$16*AH43&gt;AL43,AL43,AE43*$C$16*AH43),AE43*$C$16*AH43))))</f>
        <v>#VALUE!</v>
      </c>
      <c r="AN43" s="46" t="e">
        <f t="shared" si="57"/>
        <v>#N/A</v>
      </c>
      <c r="AO43" s="46" t="e">
        <f t="shared" si="27"/>
        <v>#N/A</v>
      </c>
      <c r="AQ43" t="str">
        <f t="shared" si="72"/>
        <v/>
      </c>
      <c r="AR43" s="3" t="str">
        <f t="shared" si="73"/>
        <v/>
      </c>
      <c r="AS43" s="3">
        <f t="shared" si="28"/>
        <v>4</v>
      </c>
      <c r="AT43" s="19">
        <f t="shared" si="74"/>
        <v>0</v>
      </c>
      <c r="AU43" s="12">
        <f t="shared" si="38"/>
        <v>0</v>
      </c>
      <c r="AV43" s="21">
        <f t="shared" si="29"/>
        <v>0</v>
      </c>
      <c r="AW43" s="21">
        <f t="shared" si="75"/>
        <v>8.25</v>
      </c>
      <c r="AX43" s="3">
        <f t="shared" si="76"/>
        <v>0.81681408993334625</v>
      </c>
      <c r="AY43" s="48">
        <f t="shared" si="81"/>
        <v>970.37513884081534</v>
      </c>
      <c r="AZ43" s="19">
        <f>IF(K43&lt;=$C$28,NA(),IF(CAPA!$I$13=0,$C$16*AU43,IF(CAPA!$I$13="Rp = 0",0,IF(CAPA!$I$13="Rp &lt; RL",IF($C$16*AU43&gt;AY43,AY43,$C$16*AU43),$C$16*AU43))))</f>
        <v>0</v>
      </c>
      <c r="BA43" s="11" t="e">
        <f t="shared" si="77"/>
        <v>#N/A</v>
      </c>
      <c r="BB43" s="11" t="e">
        <f t="shared" si="78"/>
        <v>#N/A</v>
      </c>
      <c r="BD43" s="2" t="e">
        <f t="shared" si="79"/>
        <v>#N/A</v>
      </c>
      <c r="BE43" s="48" t="e">
        <f t="shared" si="30"/>
        <v>#N/A</v>
      </c>
      <c r="BF43" s="12" t="e">
        <f t="shared" si="31"/>
        <v>#VALUE!</v>
      </c>
      <c r="BG43" s="11" t="e">
        <f t="shared" si="80"/>
        <v>#N/A</v>
      </c>
      <c r="BH43" s="11" t="e">
        <f t="shared" si="40"/>
        <v>#N/A</v>
      </c>
      <c r="CT43" s="263"/>
      <c r="DH43">
        <v>-42</v>
      </c>
    </row>
    <row r="44" spans="1:112">
      <c r="A44" t="s">
        <v>87</v>
      </c>
      <c r="B44" s="2" t="s">
        <v>156</v>
      </c>
      <c r="C44" s="2">
        <f>LOOKUP((C29),E7:E56,AI7:AI56)</f>
        <v>13</v>
      </c>
      <c r="E44" s="2">
        <v>38</v>
      </c>
      <c r="F44" s="5">
        <f>IFERROR(LOOKUP(E44,CAPA!$C$8:$C$57,CAPA!$F$8:$F$57),"")</f>
        <v>0</v>
      </c>
      <c r="G44" s="2" t="str">
        <f t="shared" si="59"/>
        <v/>
      </c>
      <c r="H44" s="2" t="str">
        <f>IFERROR(LOOKUP(F44,Compatibilidade!$C$6:$C$20,Compatibilidade!$D$6:$D$20),"")</f>
        <v/>
      </c>
      <c r="I44" s="2" t="str">
        <f>IFERROR(LOOKUP(F44,Compatibilidade!$C$6:$C$20,Compatibilidade!$E$6:$E$20),"")</f>
        <v/>
      </c>
      <c r="J44" s="2" t="str">
        <f>IFERROR(LOOKUP(F44,Compatibilidade!$C$6:$C$20,Compatibilidade!$F$6:$F$20),"")</f>
        <v/>
      </c>
      <c r="K44" s="124">
        <v>38</v>
      </c>
      <c r="L44" s="48">
        <f>IF(COUNTIF($BK$8:$BK$22,CAPA!F46)&gt;0,CAPA!D46,
        IF(CAPA!F46=$BK$23, IF(CAPA!$I$21="Nula",0,CAPA!D46),
             IF(CAPA!F46=$BK$24, IF(CAPA!$I$22="Negativa",-ABS(CAPA!D46),0),CAPA!D46)))</f>
        <v>0</v>
      </c>
      <c r="M44" s="48">
        <f>CAPA!E46</f>
        <v>0</v>
      </c>
      <c r="N44" s="2" t="str">
        <f t="shared" si="60"/>
        <v/>
      </c>
      <c r="O44" s="8" t="str">
        <f t="shared" si="61"/>
        <v/>
      </c>
      <c r="P44" s="3" t="str">
        <f t="shared" si="62"/>
        <v/>
      </c>
      <c r="Q44" s="3">
        <f t="shared" si="63"/>
        <v>1.33</v>
      </c>
      <c r="R44" s="3">
        <f t="shared" si="64"/>
        <v>2.66</v>
      </c>
      <c r="S44" s="3">
        <f t="shared" si="22"/>
        <v>0</v>
      </c>
      <c r="T44" s="12">
        <f t="shared" si="33"/>
        <v>0</v>
      </c>
      <c r="U44" s="21">
        <f t="shared" si="23"/>
        <v>0</v>
      </c>
      <c r="V44" s="21">
        <f t="shared" si="65"/>
        <v>8.0270270270270263</v>
      </c>
      <c r="W44" s="3">
        <f t="shared" si="41"/>
        <v>0.81681408993334625</v>
      </c>
      <c r="X44" s="48">
        <f t="shared" si="45"/>
        <v>1641.6120769863419</v>
      </c>
      <c r="Y44" s="48">
        <f>IF(W44="#N/D",NA(),IF(CAPA!$I$13=0,$C$16*T44,IF(CAPA!$I$13="Rp = 0",0,IF(CAPA!$I$13="Rp &lt; RL",IF($C$16*T44&gt;X44,X44,$C$16*T44),$C$16*T44))))</f>
        <v>0</v>
      </c>
      <c r="Z44" s="48" t="e">
        <f t="shared" si="82"/>
        <v>#N/A</v>
      </c>
      <c r="AA44" s="48" t="e">
        <f t="shared" si="34"/>
        <v>#N/A</v>
      </c>
      <c r="AC44" t="str">
        <f t="shared" si="66"/>
        <v/>
      </c>
      <c r="AD44" s="3" t="str">
        <f t="shared" si="67"/>
        <v/>
      </c>
      <c r="AE44" s="3" t="str">
        <f t="shared" si="68"/>
        <v/>
      </c>
      <c r="AF44" s="3" t="str">
        <f t="shared" si="69"/>
        <v/>
      </c>
      <c r="AG44" s="3">
        <f t="shared" si="55"/>
        <v>0</v>
      </c>
      <c r="AH44" s="12">
        <f t="shared" si="35"/>
        <v>0</v>
      </c>
      <c r="AI44" s="21">
        <f t="shared" si="26"/>
        <v>0</v>
      </c>
      <c r="AJ44" s="21">
        <f t="shared" si="70"/>
        <v>8.0270270270270263</v>
      </c>
      <c r="AK44" s="3">
        <f t="shared" si="71"/>
        <v>0.81681408993334625</v>
      </c>
      <c r="AL44" s="48" t="e">
        <f t="shared" si="56"/>
        <v>#N/A</v>
      </c>
      <c r="AM44" s="12" t="e">
        <f>IF(AK44="#N/D",NA(),
        IF(CAPA!$I$13=0,AE44*$C$16*AH44,
             IF(CAPA!$I$13="Rp = 0",0,
                  IF(CAPA!$I$13="Rp &lt; RL",IF(AE44*$C$16*AH44&gt;AL44,AL44,AE44*$C$16*AH44),AE44*$C$16*AH44))))</f>
        <v>#VALUE!</v>
      </c>
      <c r="AN44" s="46" t="e">
        <f t="shared" si="57"/>
        <v>#N/A</v>
      </c>
      <c r="AO44" s="46" t="e">
        <f t="shared" si="27"/>
        <v>#N/A</v>
      </c>
      <c r="AQ44" t="str">
        <f t="shared" si="72"/>
        <v/>
      </c>
      <c r="AR44" s="3" t="str">
        <f t="shared" si="73"/>
        <v/>
      </c>
      <c r="AS44" s="3">
        <f t="shared" si="28"/>
        <v>4</v>
      </c>
      <c r="AT44" s="19">
        <f t="shared" si="74"/>
        <v>0</v>
      </c>
      <c r="AU44" s="12">
        <f t="shared" si="38"/>
        <v>0</v>
      </c>
      <c r="AV44" s="21">
        <f t="shared" si="29"/>
        <v>0</v>
      </c>
      <c r="AW44" s="21">
        <f t="shared" si="75"/>
        <v>8.0270270270270263</v>
      </c>
      <c r="AX44" s="3">
        <f t="shared" si="76"/>
        <v>0.81681408993334625</v>
      </c>
      <c r="AY44" s="48">
        <f t="shared" si="81"/>
        <v>970.37513884081534</v>
      </c>
      <c r="AZ44" s="19">
        <f>IF(K44&lt;=$C$28,NA(),IF(CAPA!$I$13=0,$C$16*AU44,IF(CAPA!$I$13="Rp = 0",0,IF(CAPA!$I$13="Rp &lt; RL",IF($C$16*AU44&gt;AY44,AY44,$C$16*AU44),$C$16*AU44))))</f>
        <v>0</v>
      </c>
      <c r="BA44" s="11" t="e">
        <f t="shared" si="77"/>
        <v>#N/A</v>
      </c>
      <c r="BB44" s="11" t="e">
        <f t="shared" si="78"/>
        <v>#N/A</v>
      </c>
      <c r="BD44" s="2" t="e">
        <f t="shared" si="79"/>
        <v>#N/A</v>
      </c>
      <c r="BE44" s="48" t="e">
        <f t="shared" si="30"/>
        <v>#N/A</v>
      </c>
      <c r="BF44" s="12" t="e">
        <f t="shared" si="31"/>
        <v>#VALUE!</v>
      </c>
      <c r="BG44" s="11" t="e">
        <f t="shared" si="80"/>
        <v>#N/A</v>
      </c>
      <c r="BH44" s="11" t="e">
        <f t="shared" si="40"/>
        <v>#N/A</v>
      </c>
      <c r="CT44" s="263"/>
      <c r="DH44">
        <v>-43</v>
      </c>
    </row>
    <row r="45" spans="1:112">
      <c r="A45" t="s">
        <v>87</v>
      </c>
      <c r="B45" s="2" t="s">
        <v>155</v>
      </c>
      <c r="C45" s="2">
        <f>SUMIF(AC6:AC56,1,L6:L56)/$AC$4</f>
        <v>5.666666666666667</v>
      </c>
      <c r="E45" s="2">
        <v>39</v>
      </c>
      <c r="F45" s="5">
        <f>IFERROR(LOOKUP(E45,CAPA!$C$8:$C$57,CAPA!$F$8:$F$57),"")</f>
        <v>0</v>
      </c>
      <c r="G45" s="2" t="str">
        <f t="shared" si="59"/>
        <v/>
      </c>
      <c r="H45" s="2" t="str">
        <f>IFERROR(LOOKUP(F45,Compatibilidade!$C$6:$C$20,Compatibilidade!$D$6:$D$20),"")</f>
        <v/>
      </c>
      <c r="I45" s="2" t="str">
        <f>IFERROR(LOOKUP(F45,Compatibilidade!$C$6:$C$20,Compatibilidade!$E$6:$E$20),"")</f>
        <v/>
      </c>
      <c r="J45" s="2" t="str">
        <f>IFERROR(LOOKUP(F45,Compatibilidade!$C$6:$C$20,Compatibilidade!$F$6:$F$20),"")</f>
        <v/>
      </c>
      <c r="K45" s="124">
        <v>39</v>
      </c>
      <c r="L45" s="48">
        <f>IF(COUNTIF($BK$8:$BK$22,CAPA!F47)&gt;0,CAPA!D47,
        IF(CAPA!F47=$BK$23, IF(CAPA!$I$21="Nula",0,CAPA!D47),
             IF(CAPA!F47=$BK$24, IF(CAPA!$I$22="Negativa",-ABS(CAPA!D47),0),CAPA!D47)))</f>
        <v>0</v>
      </c>
      <c r="M45" s="48">
        <f>CAPA!E47</f>
        <v>0</v>
      </c>
      <c r="N45" s="2" t="str">
        <f t="shared" si="60"/>
        <v/>
      </c>
      <c r="O45" s="8" t="str">
        <f t="shared" si="61"/>
        <v/>
      </c>
      <c r="P45" s="3" t="str">
        <f t="shared" si="62"/>
        <v/>
      </c>
      <c r="Q45" s="3">
        <f t="shared" si="63"/>
        <v>1.33</v>
      </c>
      <c r="R45" s="3">
        <f t="shared" si="64"/>
        <v>2.66</v>
      </c>
      <c r="S45" s="3">
        <f t="shared" si="22"/>
        <v>0</v>
      </c>
      <c r="T45" s="12">
        <f t="shared" si="33"/>
        <v>0</v>
      </c>
      <c r="U45" s="21">
        <f t="shared" si="23"/>
        <v>0</v>
      </c>
      <c r="V45" s="21">
        <f t="shared" si="65"/>
        <v>7.8157894736842106</v>
      </c>
      <c r="W45" s="3">
        <f t="shared" si="41"/>
        <v>0.81681408993334625</v>
      </c>
      <c r="X45" s="48">
        <f t="shared" si="45"/>
        <v>1641.6120769863419</v>
      </c>
      <c r="Y45" s="48">
        <f>IF(W45="#N/D",NA(),IF(CAPA!$I$13=0,$C$16*T45,IF(CAPA!$I$13="Rp = 0",0,IF(CAPA!$I$13="Rp &lt; RL",IF($C$16*T45&gt;X45,X45,$C$16*T45),$C$16*T45))))</f>
        <v>0</v>
      </c>
      <c r="Z45" s="48" t="e">
        <f t="shared" si="82"/>
        <v>#N/A</v>
      </c>
      <c r="AA45" s="48" t="e">
        <f t="shared" si="34"/>
        <v>#N/A</v>
      </c>
      <c r="AC45" t="str">
        <f t="shared" si="66"/>
        <v/>
      </c>
      <c r="AD45" s="3" t="str">
        <f t="shared" si="67"/>
        <v/>
      </c>
      <c r="AE45" s="3" t="str">
        <f t="shared" si="68"/>
        <v/>
      </c>
      <c r="AF45" s="3" t="str">
        <f t="shared" si="69"/>
        <v/>
      </c>
      <c r="AG45" s="3">
        <f t="shared" si="55"/>
        <v>0</v>
      </c>
      <c r="AH45" s="12">
        <f t="shared" si="35"/>
        <v>0</v>
      </c>
      <c r="AI45" s="21">
        <f t="shared" si="26"/>
        <v>0</v>
      </c>
      <c r="AJ45" s="21">
        <f t="shared" si="70"/>
        <v>7.8157894736842106</v>
      </c>
      <c r="AK45" s="3">
        <f t="shared" si="71"/>
        <v>0.81681408993334625</v>
      </c>
      <c r="AL45" s="48" t="e">
        <f t="shared" si="56"/>
        <v>#N/A</v>
      </c>
      <c r="AM45" s="12" t="e">
        <f>IF(AK45="#N/D",NA(),
        IF(CAPA!$I$13=0,AE45*$C$16*AH45,
             IF(CAPA!$I$13="Rp = 0",0,
                  IF(CAPA!$I$13="Rp &lt; RL",IF(AE45*$C$16*AH45&gt;AL45,AL45,AE45*$C$16*AH45),AE45*$C$16*AH45))))</f>
        <v>#VALUE!</v>
      </c>
      <c r="AN45" s="46" t="e">
        <f t="shared" si="57"/>
        <v>#N/A</v>
      </c>
      <c r="AO45" s="46" t="e">
        <f t="shared" si="27"/>
        <v>#N/A</v>
      </c>
      <c r="AQ45" t="str">
        <f t="shared" si="72"/>
        <v/>
      </c>
      <c r="AR45" s="3" t="str">
        <f t="shared" si="73"/>
        <v/>
      </c>
      <c r="AS45" s="3">
        <f t="shared" si="28"/>
        <v>4</v>
      </c>
      <c r="AT45" s="19">
        <f t="shared" si="74"/>
        <v>0</v>
      </c>
      <c r="AU45" s="12">
        <f t="shared" si="38"/>
        <v>0</v>
      </c>
      <c r="AV45" s="21">
        <f t="shared" si="29"/>
        <v>0</v>
      </c>
      <c r="AW45" s="21">
        <f t="shared" si="75"/>
        <v>7.8157894736842106</v>
      </c>
      <c r="AX45" s="3">
        <f t="shared" si="76"/>
        <v>0.81681408993334625</v>
      </c>
      <c r="AY45" s="48">
        <f t="shared" si="81"/>
        <v>970.37513884081534</v>
      </c>
      <c r="AZ45" s="19">
        <f>IF(K45&lt;=$C$28,NA(),IF(CAPA!$I$13=0,$C$16*AU45,IF(CAPA!$I$13="Rp = 0",0,IF(CAPA!$I$13="Rp &lt; RL",IF($C$16*AU45&gt;AY45,AY45,$C$16*AU45),$C$16*AU45))))</f>
        <v>0</v>
      </c>
      <c r="BA45" s="11" t="e">
        <f t="shared" si="77"/>
        <v>#N/A</v>
      </c>
      <c r="BB45" s="11" t="e">
        <f t="shared" si="78"/>
        <v>#N/A</v>
      </c>
      <c r="BD45" s="2" t="e">
        <f t="shared" si="79"/>
        <v>#N/A</v>
      </c>
      <c r="BE45" s="48" t="e">
        <f t="shared" si="30"/>
        <v>#N/A</v>
      </c>
      <c r="BF45" s="12" t="e">
        <f t="shared" si="31"/>
        <v>#VALUE!</v>
      </c>
      <c r="BG45" s="11" t="e">
        <f t="shared" si="80"/>
        <v>#N/A</v>
      </c>
      <c r="BH45" s="11" t="e">
        <f t="shared" si="40"/>
        <v>#N/A</v>
      </c>
      <c r="CT45" s="263"/>
      <c r="DH45">
        <v>-44</v>
      </c>
    </row>
    <row r="46" spans="1:112">
      <c r="E46" s="2">
        <v>40</v>
      </c>
      <c r="F46" s="5">
        <f>IFERROR(LOOKUP(E46,CAPA!$C$8:$C$57,CAPA!$F$8:$F$57),"")</f>
        <v>0</v>
      </c>
      <c r="G46" s="2" t="str">
        <f t="shared" si="59"/>
        <v/>
      </c>
      <c r="H46" s="2" t="str">
        <f>IFERROR(LOOKUP(F46,Compatibilidade!$C$6:$C$20,Compatibilidade!$D$6:$D$20),"")</f>
        <v/>
      </c>
      <c r="I46" s="2" t="str">
        <f>IFERROR(LOOKUP(F46,Compatibilidade!$C$6:$C$20,Compatibilidade!$E$6:$E$20),"")</f>
        <v/>
      </c>
      <c r="J46" s="2" t="str">
        <f>IFERROR(LOOKUP(F46,Compatibilidade!$C$6:$C$20,Compatibilidade!$F$6:$F$20),"")</f>
        <v/>
      </c>
      <c r="K46" s="124">
        <v>40</v>
      </c>
      <c r="L46" s="48">
        <f>IF(COUNTIF($BK$8:$BK$22,CAPA!F48)&gt;0,CAPA!D48,
        IF(CAPA!F48=$BK$23, IF(CAPA!$I$21="Nula",0,CAPA!D48),
             IF(CAPA!F48=$BK$24, IF(CAPA!$I$22="Negativa",-ABS(CAPA!D48),0),CAPA!D48)))</f>
        <v>0</v>
      </c>
      <c r="M46" s="48">
        <f>CAPA!E48</f>
        <v>0</v>
      </c>
      <c r="N46" s="2" t="str">
        <f t="shared" si="60"/>
        <v/>
      </c>
      <c r="O46" s="8" t="str">
        <f t="shared" si="61"/>
        <v/>
      </c>
      <c r="P46" s="3" t="str">
        <f t="shared" si="62"/>
        <v/>
      </c>
      <c r="Q46" s="3">
        <f t="shared" si="63"/>
        <v>1.33</v>
      </c>
      <c r="R46" s="3">
        <f t="shared" si="64"/>
        <v>2.66</v>
      </c>
      <c r="S46" s="3">
        <f t="shared" si="22"/>
        <v>0</v>
      </c>
      <c r="T46" s="12">
        <f t="shared" si="33"/>
        <v>0</v>
      </c>
      <c r="U46" s="21">
        <f t="shared" si="23"/>
        <v>0</v>
      </c>
      <c r="V46" s="21">
        <f t="shared" si="65"/>
        <v>7.615384615384615</v>
      </c>
      <c r="W46" s="3">
        <f t="shared" si="41"/>
        <v>0.81681408993334625</v>
      </c>
      <c r="X46" s="48">
        <f t="shared" si="45"/>
        <v>1641.6120769863419</v>
      </c>
      <c r="Y46" s="48">
        <f>IF(W46="#N/D",NA(),IF(CAPA!$I$13=0,$C$16*T46,IF(CAPA!$I$13="Rp = 0",0,IF(CAPA!$I$13="Rp &lt; RL",IF($C$16*T46&gt;X46,X46,$C$16*T46),$C$16*T46))))</f>
        <v>0</v>
      </c>
      <c r="Z46" s="48" t="e">
        <f t="shared" si="82"/>
        <v>#N/A</v>
      </c>
      <c r="AA46" s="48" t="e">
        <f t="shared" si="34"/>
        <v>#N/A</v>
      </c>
      <c r="AC46" t="str">
        <f t="shared" si="66"/>
        <v/>
      </c>
      <c r="AD46" s="3" t="str">
        <f t="shared" si="67"/>
        <v/>
      </c>
      <c r="AE46" s="3" t="str">
        <f t="shared" si="68"/>
        <v/>
      </c>
      <c r="AF46" s="3" t="str">
        <f t="shared" si="69"/>
        <v/>
      </c>
      <c r="AG46" s="3">
        <f t="shared" si="55"/>
        <v>0</v>
      </c>
      <c r="AH46" s="12">
        <f t="shared" si="35"/>
        <v>0</v>
      </c>
      <c r="AI46" s="21">
        <f t="shared" si="26"/>
        <v>0</v>
      </c>
      <c r="AJ46" s="21">
        <f t="shared" si="70"/>
        <v>7.615384615384615</v>
      </c>
      <c r="AK46" s="3">
        <f t="shared" si="71"/>
        <v>0.81681408993334625</v>
      </c>
      <c r="AL46" s="48" t="e">
        <f t="shared" si="56"/>
        <v>#N/A</v>
      </c>
      <c r="AM46" s="12" t="e">
        <f>IF(AK46="#N/D",NA(),
        IF(CAPA!$I$13=0,AE46*$C$16*AH46,
             IF(CAPA!$I$13="Rp = 0",0,
                  IF(CAPA!$I$13="Rp &lt; RL",IF(AE46*$C$16*AH46&gt;AL46,AL46,AE46*$C$16*AH46),AE46*$C$16*AH46))))</f>
        <v>#VALUE!</v>
      </c>
      <c r="AN46" s="46" t="e">
        <f t="shared" si="57"/>
        <v>#N/A</v>
      </c>
      <c r="AO46" s="46" t="e">
        <f t="shared" si="27"/>
        <v>#N/A</v>
      </c>
      <c r="AQ46" t="str">
        <f t="shared" si="72"/>
        <v/>
      </c>
      <c r="AR46" s="3" t="str">
        <f t="shared" si="73"/>
        <v/>
      </c>
      <c r="AS46" s="3">
        <f t="shared" si="28"/>
        <v>4</v>
      </c>
      <c r="AT46" s="19">
        <f t="shared" si="74"/>
        <v>0</v>
      </c>
      <c r="AU46" s="12">
        <f t="shared" si="38"/>
        <v>0</v>
      </c>
      <c r="AV46" s="21">
        <f t="shared" si="29"/>
        <v>0</v>
      </c>
      <c r="AW46" s="21">
        <f t="shared" si="75"/>
        <v>7.615384615384615</v>
      </c>
      <c r="AX46" s="3">
        <f t="shared" si="76"/>
        <v>0.81681408993334625</v>
      </c>
      <c r="AY46" s="48">
        <f t="shared" si="81"/>
        <v>970.37513884081534</v>
      </c>
      <c r="AZ46" s="19">
        <f>IF(K46&lt;=$C$28,NA(),IF(CAPA!$I$13=0,$C$16*AU46,IF(CAPA!$I$13="Rp = 0",0,IF(CAPA!$I$13="Rp &lt; RL",IF($C$16*AU46&gt;AY46,AY46,$C$16*AU46),$C$16*AU46))))</f>
        <v>0</v>
      </c>
      <c r="BA46" s="11" t="e">
        <f t="shared" si="77"/>
        <v>#N/A</v>
      </c>
      <c r="BB46" s="11" t="e">
        <f t="shared" si="78"/>
        <v>#N/A</v>
      </c>
      <c r="BD46" s="2" t="e">
        <f t="shared" si="79"/>
        <v>#N/A</v>
      </c>
      <c r="BE46" s="48" t="e">
        <f t="shared" si="30"/>
        <v>#N/A</v>
      </c>
      <c r="BF46" s="12" t="e">
        <f t="shared" si="31"/>
        <v>#VALUE!</v>
      </c>
      <c r="BG46" s="11" t="e">
        <f t="shared" si="80"/>
        <v>#N/A</v>
      </c>
      <c r="BH46" s="11" t="e">
        <f t="shared" si="40"/>
        <v>#N/A</v>
      </c>
      <c r="CT46" s="263"/>
      <c r="DH46">
        <v>-45</v>
      </c>
    </row>
    <row r="47" spans="1:112">
      <c r="A47" t="s">
        <v>87</v>
      </c>
      <c r="B47" s="5" t="s">
        <v>74</v>
      </c>
      <c r="C47" s="21">
        <f>LOOKUP((C29),E7:E56,AH7:AH56)</f>
        <v>3250</v>
      </c>
      <c r="E47" s="2">
        <v>41</v>
      </c>
      <c r="F47" s="5">
        <f>IFERROR(LOOKUP(E47,CAPA!$C$8:$C$57,CAPA!$F$8:$F$57),"")</f>
        <v>0</v>
      </c>
      <c r="G47" s="2" t="str">
        <f t="shared" si="59"/>
        <v/>
      </c>
      <c r="H47" s="2" t="str">
        <f>IFERROR(LOOKUP(F47,Compatibilidade!$C$6:$C$20,Compatibilidade!$D$6:$D$20),"")</f>
        <v/>
      </c>
      <c r="I47" s="2" t="str">
        <f>IFERROR(LOOKUP(F47,Compatibilidade!$C$6:$C$20,Compatibilidade!$E$6:$E$20),"")</f>
        <v/>
      </c>
      <c r="J47" s="2" t="str">
        <f>IFERROR(LOOKUP(F47,Compatibilidade!$C$6:$C$20,Compatibilidade!$F$6:$F$20),"")</f>
        <v/>
      </c>
      <c r="K47" s="124">
        <v>41</v>
      </c>
      <c r="L47" s="48">
        <f>IF(COUNTIF($BK$8:$BK$22,CAPA!F49)&gt;0,CAPA!D49,
        IF(CAPA!F49=$BK$23, IF(CAPA!$I$21="Nula",0,CAPA!D49),
             IF(CAPA!F49=$BK$24, IF(CAPA!$I$22="Negativa",-ABS(CAPA!D49),0),CAPA!D49)))</f>
        <v>0</v>
      </c>
      <c r="M47" s="48">
        <f>CAPA!E49</f>
        <v>0</v>
      </c>
      <c r="N47" s="2" t="str">
        <f t="shared" si="60"/>
        <v/>
      </c>
      <c r="O47" s="8" t="str">
        <f t="shared" si="61"/>
        <v/>
      </c>
      <c r="P47" s="3" t="str">
        <f t="shared" si="62"/>
        <v/>
      </c>
      <c r="Q47" s="3">
        <f t="shared" si="63"/>
        <v>1.33</v>
      </c>
      <c r="R47" s="3">
        <f t="shared" si="64"/>
        <v>2.66</v>
      </c>
      <c r="S47" s="3">
        <f t="shared" si="22"/>
        <v>0</v>
      </c>
      <c r="T47" s="12">
        <f t="shared" si="33"/>
        <v>0</v>
      </c>
      <c r="U47" s="21">
        <f t="shared" si="23"/>
        <v>0</v>
      </c>
      <c r="V47" s="21">
        <f t="shared" si="65"/>
        <v>7.4249999999999998</v>
      </c>
      <c r="W47" s="3">
        <f t="shared" si="41"/>
        <v>0.81681408993334625</v>
      </c>
      <c r="X47" s="48">
        <f t="shared" si="45"/>
        <v>1641.6120769863419</v>
      </c>
      <c r="Y47" s="48">
        <f>IF(W47="#N/D",NA(),IF(CAPA!$I$13=0,$C$16*T47,IF(CAPA!$I$13="Rp = 0",0,IF(CAPA!$I$13="Rp &lt; RL",IF($C$16*T47&gt;X47,X47,$C$16*T47),$C$16*T47))))</f>
        <v>0</v>
      </c>
      <c r="Z47" s="48" t="e">
        <f t="shared" si="82"/>
        <v>#N/A</v>
      </c>
      <c r="AA47" s="48" t="e">
        <f t="shared" si="34"/>
        <v>#N/A</v>
      </c>
      <c r="AC47" t="str">
        <f t="shared" si="66"/>
        <v/>
      </c>
      <c r="AD47" s="3" t="str">
        <f t="shared" si="67"/>
        <v/>
      </c>
      <c r="AE47" s="3" t="str">
        <f t="shared" si="68"/>
        <v/>
      </c>
      <c r="AF47" s="3" t="str">
        <f t="shared" si="69"/>
        <v/>
      </c>
      <c r="AG47" s="3">
        <f t="shared" si="55"/>
        <v>0</v>
      </c>
      <c r="AH47" s="12">
        <f t="shared" si="35"/>
        <v>0</v>
      </c>
      <c r="AI47" s="21">
        <f t="shared" si="26"/>
        <v>0</v>
      </c>
      <c r="AJ47" s="21">
        <f t="shared" si="70"/>
        <v>7.4249999999999998</v>
      </c>
      <c r="AK47" s="3">
        <f t="shared" si="71"/>
        <v>0.81681408993334625</v>
      </c>
      <c r="AL47" s="48" t="e">
        <f t="shared" si="56"/>
        <v>#N/A</v>
      </c>
      <c r="AM47" s="12" t="e">
        <f>IF(AK47="#N/D",NA(),
        IF(CAPA!$I$13=0,AE47*$C$16*AH47,
             IF(CAPA!$I$13="Rp = 0",0,
                  IF(CAPA!$I$13="Rp &lt; RL",IF(AE47*$C$16*AH47&gt;AL47,AL47,AE47*$C$16*AH47),AE47*$C$16*AH47))))</f>
        <v>#VALUE!</v>
      </c>
      <c r="AN47" s="46" t="e">
        <f t="shared" si="57"/>
        <v>#N/A</v>
      </c>
      <c r="AO47" s="46" t="e">
        <f t="shared" si="27"/>
        <v>#N/A</v>
      </c>
      <c r="AQ47" t="str">
        <f t="shared" si="72"/>
        <v/>
      </c>
      <c r="AR47" s="3" t="str">
        <f t="shared" si="73"/>
        <v/>
      </c>
      <c r="AS47" s="3">
        <f t="shared" si="28"/>
        <v>4</v>
      </c>
      <c r="AT47" s="19">
        <f t="shared" si="74"/>
        <v>0</v>
      </c>
      <c r="AU47" s="12">
        <f t="shared" si="38"/>
        <v>0</v>
      </c>
      <c r="AV47" s="21">
        <f t="shared" si="29"/>
        <v>0</v>
      </c>
      <c r="AW47" s="21">
        <f t="shared" si="75"/>
        <v>7.4249999999999998</v>
      </c>
      <c r="AX47" s="3">
        <f t="shared" si="76"/>
        <v>0.81681408993334625</v>
      </c>
      <c r="AY47" s="48">
        <f t="shared" si="81"/>
        <v>970.37513884081534</v>
      </c>
      <c r="AZ47" s="19">
        <f>IF(K47&lt;=$C$28,NA(),IF(CAPA!$I$13=0,$C$16*AU47,IF(CAPA!$I$13="Rp = 0",0,IF(CAPA!$I$13="Rp &lt; RL",IF($C$16*AU47&gt;AY47,AY47,$C$16*AU47),$C$16*AU47))))</f>
        <v>0</v>
      </c>
      <c r="BA47" s="11" t="e">
        <f t="shared" si="77"/>
        <v>#N/A</v>
      </c>
      <c r="BB47" s="11" t="e">
        <f t="shared" si="78"/>
        <v>#N/A</v>
      </c>
      <c r="BD47" s="2" t="e">
        <f t="shared" si="79"/>
        <v>#N/A</v>
      </c>
      <c r="BE47" s="48" t="e">
        <f t="shared" si="30"/>
        <v>#N/A</v>
      </c>
      <c r="BF47" s="12" t="e">
        <f t="shared" si="31"/>
        <v>#VALUE!</v>
      </c>
      <c r="BG47" s="11" t="e">
        <f t="shared" si="80"/>
        <v>#N/A</v>
      </c>
      <c r="BH47" s="11" t="e">
        <f t="shared" si="40"/>
        <v>#N/A</v>
      </c>
      <c r="CT47" s="263"/>
      <c r="DH47">
        <v>-46</v>
      </c>
    </row>
    <row r="48" spans="1:112">
      <c r="A48" t="s">
        <v>87</v>
      </c>
      <c r="B48" s="5" t="s">
        <v>75</v>
      </c>
      <c r="C48" s="21">
        <f>SUMIF(AC7:AC56,1,AG7:AG56)/$AC$4</f>
        <v>28.888888888888886</v>
      </c>
      <c r="E48" s="2">
        <v>42</v>
      </c>
      <c r="F48" s="5">
        <f>IFERROR(LOOKUP(E48,CAPA!$C$8:$C$57,CAPA!$F$8:$F$57),"")</f>
        <v>0</v>
      </c>
      <c r="G48" s="2" t="str">
        <f t="shared" si="59"/>
        <v/>
      </c>
      <c r="H48" s="2" t="str">
        <f>IFERROR(LOOKUP(F48,Compatibilidade!$C$6:$C$20,Compatibilidade!$D$6:$D$20),"")</f>
        <v/>
      </c>
      <c r="I48" s="2" t="str">
        <f>IFERROR(LOOKUP(F48,Compatibilidade!$C$6:$C$20,Compatibilidade!$E$6:$E$20),"")</f>
        <v/>
      </c>
      <c r="J48" s="2" t="str">
        <f>IFERROR(LOOKUP(F48,Compatibilidade!$C$6:$C$20,Compatibilidade!$F$6:$F$20),"")</f>
        <v/>
      </c>
      <c r="K48" s="124">
        <v>42</v>
      </c>
      <c r="L48" s="48">
        <f>IF(COUNTIF($BK$8:$BK$22,CAPA!F50)&gt;0,CAPA!D50,
        IF(CAPA!F50=$BK$23, IF(CAPA!$I$21="Nula",0,CAPA!D50),
             IF(CAPA!F50=$BK$24, IF(CAPA!$I$22="Negativa",-ABS(CAPA!D50),0),CAPA!D50)))</f>
        <v>0</v>
      </c>
      <c r="M48" s="48">
        <f>CAPA!E50</f>
        <v>0</v>
      </c>
      <c r="N48" s="2" t="str">
        <f t="shared" si="60"/>
        <v/>
      </c>
      <c r="O48" s="8" t="str">
        <f t="shared" si="61"/>
        <v/>
      </c>
      <c r="P48" s="3" t="str">
        <f t="shared" si="62"/>
        <v/>
      </c>
      <c r="Q48" s="3">
        <f t="shared" si="63"/>
        <v>1.33</v>
      </c>
      <c r="R48" s="3">
        <f t="shared" si="64"/>
        <v>2.66</v>
      </c>
      <c r="S48" s="3">
        <f t="shared" si="22"/>
        <v>0</v>
      </c>
      <c r="T48" s="12">
        <f t="shared" si="33"/>
        <v>0</v>
      </c>
      <c r="U48" s="21">
        <f t="shared" si="23"/>
        <v>0</v>
      </c>
      <c r="V48" s="21">
        <f t="shared" si="65"/>
        <v>7.2439024390243905</v>
      </c>
      <c r="W48" s="3">
        <f t="shared" si="41"/>
        <v>0.81681408993334625</v>
      </c>
      <c r="X48" s="48">
        <f t="shared" si="45"/>
        <v>1641.6120769863419</v>
      </c>
      <c r="Y48" s="48">
        <f>IF(W48="#N/D",NA(),IF(CAPA!$I$13=0,$C$16*T48,IF(CAPA!$I$13="Rp = 0",0,IF(CAPA!$I$13="Rp &lt; RL",IF($C$16*T48&gt;X48,X48,$C$16*T48),$C$16*T48))))</f>
        <v>0</v>
      </c>
      <c r="Z48" s="48" t="e">
        <f t="shared" si="82"/>
        <v>#N/A</v>
      </c>
      <c r="AA48" s="48" t="e">
        <f t="shared" si="34"/>
        <v>#N/A</v>
      </c>
      <c r="AC48" t="str">
        <f t="shared" si="66"/>
        <v/>
      </c>
      <c r="AD48" s="3" t="str">
        <f t="shared" si="67"/>
        <v/>
      </c>
      <c r="AE48" s="3" t="str">
        <f t="shared" si="68"/>
        <v/>
      </c>
      <c r="AF48" s="3" t="str">
        <f t="shared" si="69"/>
        <v/>
      </c>
      <c r="AG48" s="3">
        <f t="shared" si="55"/>
        <v>0</v>
      </c>
      <c r="AH48" s="12">
        <f t="shared" si="35"/>
        <v>0</v>
      </c>
      <c r="AI48" s="21">
        <f t="shared" si="26"/>
        <v>0</v>
      </c>
      <c r="AJ48" s="21">
        <f t="shared" si="70"/>
        <v>7.2439024390243905</v>
      </c>
      <c r="AK48" s="3">
        <f t="shared" si="71"/>
        <v>0.81681408993334625</v>
      </c>
      <c r="AL48" s="48" t="e">
        <f t="shared" si="56"/>
        <v>#N/A</v>
      </c>
      <c r="AM48" s="12" t="e">
        <f>IF(AK48="#N/D",NA(),
        IF(CAPA!$I$13=0,AE48*$C$16*AH48,
             IF(CAPA!$I$13="Rp = 0",0,
                  IF(CAPA!$I$13="Rp &lt; RL",IF(AE48*$C$16*AH48&gt;AL48,AL48,AE48*$C$16*AH48),AE48*$C$16*AH48))))</f>
        <v>#VALUE!</v>
      </c>
      <c r="AN48" s="46" t="e">
        <f t="shared" si="57"/>
        <v>#N/A</v>
      </c>
      <c r="AO48" s="46" t="e">
        <f t="shared" si="27"/>
        <v>#N/A</v>
      </c>
      <c r="AQ48" t="str">
        <f t="shared" si="72"/>
        <v/>
      </c>
      <c r="AR48" s="3" t="str">
        <f t="shared" si="73"/>
        <v/>
      </c>
      <c r="AS48" s="3">
        <f t="shared" si="28"/>
        <v>4</v>
      </c>
      <c r="AT48" s="19">
        <f t="shared" si="74"/>
        <v>0</v>
      </c>
      <c r="AU48" s="12">
        <f t="shared" si="38"/>
        <v>0</v>
      </c>
      <c r="AV48" s="21">
        <f t="shared" si="29"/>
        <v>0</v>
      </c>
      <c r="AW48" s="21">
        <f t="shared" si="75"/>
        <v>7.2439024390243905</v>
      </c>
      <c r="AX48" s="3">
        <f t="shared" si="76"/>
        <v>0.81681408993334625</v>
      </c>
      <c r="AY48" s="48">
        <f t="shared" si="81"/>
        <v>970.37513884081534</v>
      </c>
      <c r="AZ48" s="19">
        <f>IF(K48&lt;=$C$28,NA(),IF(CAPA!$I$13=0,$C$16*AU48,IF(CAPA!$I$13="Rp = 0",0,IF(CAPA!$I$13="Rp &lt; RL",IF($C$16*AU48&gt;AY48,AY48,$C$16*AU48),$C$16*AU48))))</f>
        <v>0</v>
      </c>
      <c r="BA48" s="11" t="e">
        <f t="shared" si="77"/>
        <v>#N/A</v>
      </c>
      <c r="BB48" s="11" t="e">
        <f t="shared" si="78"/>
        <v>#N/A</v>
      </c>
      <c r="BD48" s="2" t="e">
        <f t="shared" si="79"/>
        <v>#N/A</v>
      </c>
      <c r="BE48" s="48" t="e">
        <f t="shared" si="30"/>
        <v>#N/A</v>
      </c>
      <c r="BF48" s="12" t="e">
        <f t="shared" si="31"/>
        <v>#VALUE!</v>
      </c>
      <c r="BG48" s="11" t="e">
        <f t="shared" si="80"/>
        <v>#N/A</v>
      </c>
      <c r="BH48" s="11" t="e">
        <f t="shared" si="40"/>
        <v>#N/A</v>
      </c>
      <c r="CT48" s="263"/>
      <c r="DH48">
        <v>-47</v>
      </c>
    </row>
    <row r="49" spans="1:112">
      <c r="C49" s="21"/>
      <c r="E49" s="2">
        <v>43</v>
      </c>
      <c r="F49" s="5">
        <f>IFERROR(LOOKUP(E49,CAPA!$C$8:$C$57,CAPA!$F$8:$F$57),"")</f>
        <v>0</v>
      </c>
      <c r="G49" s="2" t="str">
        <f t="shared" si="59"/>
        <v/>
      </c>
      <c r="H49" s="2" t="str">
        <f>IFERROR(LOOKUP(F49,Compatibilidade!$C$6:$C$20,Compatibilidade!$D$6:$D$20),"")</f>
        <v/>
      </c>
      <c r="I49" s="2" t="str">
        <f>IFERROR(LOOKUP(F49,Compatibilidade!$C$6:$C$20,Compatibilidade!$E$6:$E$20),"")</f>
        <v/>
      </c>
      <c r="J49" s="2" t="str">
        <f>IFERROR(LOOKUP(F49,Compatibilidade!$C$6:$C$20,Compatibilidade!$F$6:$F$20),"")</f>
        <v/>
      </c>
      <c r="K49" s="124">
        <v>43</v>
      </c>
      <c r="L49" s="48">
        <f>IF(COUNTIF($BK$8:$BK$22,CAPA!F51)&gt;0,CAPA!D51,
        IF(CAPA!F51=$BK$23, IF(CAPA!$I$21="Nula",0,CAPA!D51),
             IF(CAPA!F51=$BK$24, IF(CAPA!$I$22="Negativa",-ABS(CAPA!D51),0),CAPA!D51)))</f>
        <v>0</v>
      </c>
      <c r="M49" s="48">
        <f>CAPA!E51</f>
        <v>0</v>
      </c>
      <c r="N49" s="2" t="str">
        <f t="shared" si="60"/>
        <v/>
      </c>
      <c r="O49" s="8" t="str">
        <f t="shared" si="61"/>
        <v/>
      </c>
      <c r="P49" s="3" t="str">
        <f t="shared" si="62"/>
        <v/>
      </c>
      <c r="Q49" s="3">
        <f t="shared" si="63"/>
        <v>1.33</v>
      </c>
      <c r="R49" s="3">
        <f t="shared" si="64"/>
        <v>2.66</v>
      </c>
      <c r="S49" s="3">
        <f t="shared" si="22"/>
        <v>0</v>
      </c>
      <c r="T49" s="12">
        <f t="shared" si="33"/>
        <v>0</v>
      </c>
      <c r="U49" s="21">
        <f t="shared" si="23"/>
        <v>0</v>
      </c>
      <c r="V49" s="21">
        <f t="shared" si="65"/>
        <v>7.0714285714285712</v>
      </c>
      <c r="W49" s="3">
        <f t="shared" si="41"/>
        <v>0.81681408993334625</v>
      </c>
      <c r="X49" s="48">
        <f t="shared" si="45"/>
        <v>1641.6120769863419</v>
      </c>
      <c r="Y49" s="48">
        <f>IF(W49="#N/D",NA(),IF(CAPA!$I$13=0,$C$16*T49,IF(CAPA!$I$13="Rp = 0",0,IF(CAPA!$I$13="Rp &lt; RL",IF($C$16*T49&gt;X49,X49,$C$16*T49),$C$16*T49))))</f>
        <v>0</v>
      </c>
      <c r="Z49" s="48" t="e">
        <f t="shared" ref="Z49:Z54" si="83">IF(O49="",NA(),IF(W49="#N/D",NA(),X49+Y49))</f>
        <v>#N/A</v>
      </c>
      <c r="AA49" s="48" t="e">
        <f t="shared" si="34"/>
        <v>#N/A</v>
      </c>
      <c r="AC49" t="str">
        <f t="shared" si="66"/>
        <v/>
      </c>
      <c r="AD49" s="3" t="str">
        <f t="shared" si="67"/>
        <v/>
      </c>
      <c r="AE49" s="3" t="str">
        <f t="shared" si="68"/>
        <v/>
      </c>
      <c r="AF49" s="3" t="str">
        <f t="shared" si="69"/>
        <v/>
      </c>
      <c r="AG49" s="3">
        <f t="shared" si="55"/>
        <v>0</v>
      </c>
      <c r="AH49" s="12">
        <f t="shared" si="35"/>
        <v>0</v>
      </c>
      <c r="AI49" s="21">
        <f t="shared" si="26"/>
        <v>0</v>
      </c>
      <c r="AJ49" s="21">
        <f t="shared" si="70"/>
        <v>7.0714285714285712</v>
      </c>
      <c r="AK49" s="3">
        <f t="shared" si="71"/>
        <v>0.81681408993334625</v>
      </c>
      <c r="AL49" s="48" t="e">
        <f t="shared" si="56"/>
        <v>#N/A</v>
      </c>
      <c r="AM49" s="12" t="e">
        <f>IF(AK49="#N/D",NA(),
        IF(CAPA!$I$13=0,AE49*$C$16*AH49,
             IF(CAPA!$I$13="Rp = 0",0,
                  IF(CAPA!$I$13="Rp &lt; RL",IF(AE49*$C$16*AH49&gt;AL49,AL49,AE49*$C$16*AH49),AE49*$C$16*AH49))))</f>
        <v>#VALUE!</v>
      </c>
      <c r="AN49" s="46" t="e">
        <f t="shared" si="57"/>
        <v>#N/A</v>
      </c>
      <c r="AO49" s="46" t="e">
        <f t="shared" si="27"/>
        <v>#N/A</v>
      </c>
      <c r="AQ49" t="str">
        <f t="shared" si="72"/>
        <v/>
      </c>
      <c r="AR49" s="3" t="str">
        <f t="shared" si="73"/>
        <v/>
      </c>
      <c r="AS49" s="3">
        <f t="shared" si="28"/>
        <v>4</v>
      </c>
      <c r="AT49" s="19">
        <f t="shared" si="74"/>
        <v>0</v>
      </c>
      <c r="AU49" s="12">
        <f t="shared" si="38"/>
        <v>0</v>
      </c>
      <c r="AV49" s="21">
        <f t="shared" si="29"/>
        <v>0</v>
      </c>
      <c r="AW49" s="21">
        <f t="shared" si="75"/>
        <v>7.0714285714285712</v>
      </c>
      <c r="AX49" s="3">
        <f t="shared" si="76"/>
        <v>0.81681408993334625</v>
      </c>
      <c r="AY49" s="48">
        <f t="shared" si="81"/>
        <v>970.37513884081534</v>
      </c>
      <c r="AZ49" s="19">
        <f>IF(K49&lt;=$C$28,NA(),IF(CAPA!$I$13=0,$C$16*AU49,IF(CAPA!$I$13="Rp = 0",0,IF(CAPA!$I$13="Rp &lt; RL",IF($C$16*AU49&gt;AY49,AY49,$C$16*AU49),$C$16*AU49))))</f>
        <v>0</v>
      </c>
      <c r="BA49" s="11" t="e">
        <f t="shared" si="77"/>
        <v>#N/A</v>
      </c>
      <c r="BB49" s="11" t="e">
        <f t="shared" si="78"/>
        <v>#N/A</v>
      </c>
      <c r="BD49" s="2" t="e">
        <f t="shared" si="79"/>
        <v>#N/A</v>
      </c>
      <c r="BE49" s="48" t="e">
        <f t="shared" si="30"/>
        <v>#N/A</v>
      </c>
      <c r="BF49" s="12" t="e">
        <f t="shared" si="31"/>
        <v>#VALUE!</v>
      </c>
      <c r="BG49" s="11" t="e">
        <f t="shared" si="80"/>
        <v>#N/A</v>
      </c>
      <c r="BH49" s="11" t="e">
        <f t="shared" si="40"/>
        <v>#N/A</v>
      </c>
      <c r="CT49" s="263"/>
      <c r="DH49">
        <v>-48</v>
      </c>
    </row>
    <row r="50" spans="1:112">
      <c r="A50" t="s">
        <v>87</v>
      </c>
      <c r="B50" s="5" t="s">
        <v>76</v>
      </c>
      <c r="C50" s="48">
        <f>IF(C47=0,"",LOOKUP((C29),E7:E56,AM7:AM56))</f>
        <v>172.55197649841941</v>
      </c>
      <c r="E50" s="2">
        <v>44</v>
      </c>
      <c r="F50" s="5">
        <f>IFERROR(LOOKUP(E50,CAPA!$C$8:$C$57,CAPA!$F$8:$F$57),"")</f>
        <v>0</v>
      </c>
      <c r="G50" s="2" t="str">
        <f t="shared" si="59"/>
        <v/>
      </c>
      <c r="H50" s="2" t="str">
        <f>IFERROR(LOOKUP(F50,Compatibilidade!$C$6:$C$20,Compatibilidade!$D$6:$D$20),"")</f>
        <v/>
      </c>
      <c r="I50" s="2" t="str">
        <f>IFERROR(LOOKUP(F50,Compatibilidade!$C$6:$C$20,Compatibilidade!$E$6:$E$20),"")</f>
        <v/>
      </c>
      <c r="J50" s="2" t="str">
        <f>IFERROR(LOOKUP(F50,Compatibilidade!$C$6:$C$20,Compatibilidade!$F$6:$F$20),"")</f>
        <v/>
      </c>
      <c r="K50" s="124">
        <v>44</v>
      </c>
      <c r="L50" s="48">
        <f>IF(COUNTIF($BK$8:$BK$22,CAPA!F52)&gt;0,CAPA!D52,
        IF(CAPA!F52=$BK$23, IF(CAPA!$I$21="Nula",0,CAPA!D52),
             IF(CAPA!F52=$BK$24, IF(CAPA!$I$22="Negativa",-ABS(CAPA!D52),0),CAPA!D52)))</f>
        <v>0</v>
      </c>
      <c r="M50" s="48">
        <f>CAPA!E52</f>
        <v>0</v>
      </c>
      <c r="N50" s="2" t="str">
        <f t="shared" si="60"/>
        <v/>
      </c>
      <c r="O50" s="8" t="str">
        <f t="shared" si="61"/>
        <v/>
      </c>
      <c r="P50" s="3" t="str">
        <f t="shared" si="62"/>
        <v/>
      </c>
      <c r="Q50" s="3">
        <f t="shared" si="63"/>
        <v>1.33</v>
      </c>
      <c r="R50" s="3">
        <f t="shared" si="64"/>
        <v>2.66</v>
      </c>
      <c r="S50" s="3">
        <f t="shared" si="22"/>
        <v>0</v>
      </c>
      <c r="T50" s="12">
        <f t="shared" si="33"/>
        <v>0</v>
      </c>
      <c r="U50" s="21">
        <f t="shared" si="23"/>
        <v>0</v>
      </c>
      <c r="V50" s="21">
        <f t="shared" si="65"/>
        <v>6.9069767441860463</v>
      </c>
      <c r="W50" s="3">
        <f t="shared" si="41"/>
        <v>0.81681408993334625</v>
      </c>
      <c r="X50" s="48">
        <f t="shared" si="45"/>
        <v>1641.6120769863419</v>
      </c>
      <c r="Y50" s="48">
        <f>IF(W50="#N/D",NA(),IF(CAPA!$I$13=0,$C$16*T50,IF(CAPA!$I$13="Rp = 0",0,IF(CAPA!$I$13="Rp &lt; RL",IF($C$16*T50&gt;X50,X50,$C$16*T50),$C$16*T50))))</f>
        <v>0</v>
      </c>
      <c r="Z50" s="48" t="e">
        <f t="shared" si="83"/>
        <v>#N/A</v>
      </c>
      <c r="AA50" s="48" t="e">
        <f t="shared" si="34"/>
        <v>#N/A</v>
      </c>
      <c r="AC50" t="str">
        <f t="shared" si="66"/>
        <v/>
      </c>
      <c r="AD50" s="3" t="str">
        <f t="shared" si="67"/>
        <v/>
      </c>
      <c r="AE50" s="3" t="str">
        <f t="shared" si="68"/>
        <v/>
      </c>
      <c r="AF50" s="3" t="str">
        <f t="shared" si="69"/>
        <v/>
      </c>
      <c r="AG50" s="3">
        <f t="shared" si="55"/>
        <v>0</v>
      </c>
      <c r="AH50" s="12">
        <f t="shared" si="35"/>
        <v>0</v>
      </c>
      <c r="AI50" s="21">
        <f t="shared" si="26"/>
        <v>0</v>
      </c>
      <c r="AJ50" s="21">
        <f t="shared" si="70"/>
        <v>6.9069767441860463</v>
      </c>
      <c r="AK50" s="3">
        <f t="shared" si="71"/>
        <v>0.81681408993334625</v>
      </c>
      <c r="AL50" s="48" t="e">
        <f t="shared" si="56"/>
        <v>#N/A</v>
      </c>
      <c r="AM50" s="12" t="e">
        <f>IF(AK50="#N/D",NA(),
        IF(CAPA!$I$13=0,AE50*$C$16*AH50,
             IF(CAPA!$I$13="Rp = 0",0,
                  IF(CAPA!$I$13="Rp &lt; RL",IF(AE50*$C$16*AH50&gt;AL50,AL50,AE50*$C$16*AH50),AE50*$C$16*AH50))))</f>
        <v>#VALUE!</v>
      </c>
      <c r="AN50" s="46" t="e">
        <f t="shared" si="57"/>
        <v>#N/A</v>
      </c>
      <c r="AO50" s="46" t="e">
        <f t="shared" si="27"/>
        <v>#N/A</v>
      </c>
      <c r="AQ50" t="str">
        <f t="shared" si="72"/>
        <v/>
      </c>
      <c r="AR50" s="3" t="str">
        <f t="shared" si="73"/>
        <v/>
      </c>
      <c r="AS50" s="3">
        <f t="shared" si="28"/>
        <v>4</v>
      </c>
      <c r="AT50" s="19">
        <f t="shared" si="74"/>
        <v>0</v>
      </c>
      <c r="AU50" s="12">
        <f t="shared" si="38"/>
        <v>0</v>
      </c>
      <c r="AV50" s="21">
        <f t="shared" si="29"/>
        <v>0</v>
      </c>
      <c r="AW50" s="21">
        <f t="shared" si="75"/>
        <v>6.9069767441860463</v>
      </c>
      <c r="AX50" s="3">
        <f t="shared" si="76"/>
        <v>0.81681408993334625</v>
      </c>
      <c r="AY50" s="48">
        <f t="shared" si="81"/>
        <v>970.37513884081534</v>
      </c>
      <c r="AZ50" s="19">
        <f>IF(K50&lt;=$C$28,NA(),IF(CAPA!$I$13=0,$C$16*AU50,IF(CAPA!$I$13="Rp = 0",0,IF(CAPA!$I$13="Rp &lt; RL",IF($C$16*AU50&gt;AY50,AY50,$C$16*AU50),$C$16*AU50))))</f>
        <v>0</v>
      </c>
      <c r="BA50" s="11" t="e">
        <f t="shared" si="77"/>
        <v>#N/A</v>
      </c>
      <c r="BB50" s="11" t="e">
        <f t="shared" si="78"/>
        <v>#N/A</v>
      </c>
      <c r="BD50" s="2" t="e">
        <f t="shared" si="79"/>
        <v>#N/A</v>
      </c>
      <c r="BE50" s="48" t="e">
        <f t="shared" si="30"/>
        <v>#N/A</v>
      </c>
      <c r="BF50" s="12" t="e">
        <f t="shared" si="31"/>
        <v>#VALUE!</v>
      </c>
      <c r="BG50" s="11" t="e">
        <f t="shared" si="80"/>
        <v>#N/A</v>
      </c>
      <c r="BH50" s="11" t="e">
        <f t="shared" si="40"/>
        <v>#N/A</v>
      </c>
      <c r="CT50" s="263"/>
      <c r="DH50">
        <v>-49</v>
      </c>
    </row>
    <row r="51" spans="1:112">
      <c r="A51" t="s">
        <v>87</v>
      </c>
      <c r="B51" s="5" t="s">
        <v>77</v>
      </c>
      <c r="C51" s="48">
        <f>IF(C48=0,"",LOOKUP((C29),E7:E56,AL7:AL56))</f>
        <v>283.16221784356009</v>
      </c>
      <c r="E51" s="2">
        <v>45</v>
      </c>
      <c r="F51" s="5">
        <f>IFERROR(LOOKUP(E51,CAPA!$C$8:$C$57,CAPA!$F$8:$F$57),"")</f>
        <v>0</v>
      </c>
      <c r="G51" s="2" t="str">
        <f t="shared" si="59"/>
        <v/>
      </c>
      <c r="H51" s="2" t="str">
        <f>IFERROR(LOOKUP(F51,Compatibilidade!$C$6:$C$20,Compatibilidade!$D$6:$D$20),"")</f>
        <v/>
      </c>
      <c r="I51" s="2" t="str">
        <f>IFERROR(LOOKUP(F51,Compatibilidade!$C$6:$C$20,Compatibilidade!$E$6:$E$20),"")</f>
        <v/>
      </c>
      <c r="J51" s="2" t="str">
        <f>IFERROR(LOOKUP(F51,Compatibilidade!$C$6:$C$20,Compatibilidade!$F$6:$F$20),"")</f>
        <v/>
      </c>
      <c r="K51" s="124">
        <v>45</v>
      </c>
      <c r="L51" s="48">
        <f>IF(COUNTIF($BK$8:$BK$22,CAPA!F53)&gt;0,CAPA!D53,
        IF(CAPA!F53=$BK$23, IF(CAPA!$I$21="Nula",0,CAPA!D53),
             IF(CAPA!F53=$BK$24, IF(CAPA!$I$22="Negativa",-ABS(CAPA!D53),0),CAPA!D53)))</f>
        <v>0</v>
      </c>
      <c r="M51" s="48">
        <f>CAPA!E53</f>
        <v>0</v>
      </c>
      <c r="N51" s="2" t="str">
        <f t="shared" si="60"/>
        <v/>
      </c>
      <c r="O51" s="8" t="str">
        <f t="shared" si="61"/>
        <v/>
      </c>
      <c r="P51" s="3" t="str">
        <f t="shared" si="62"/>
        <v/>
      </c>
      <c r="Q51" s="3">
        <f t="shared" si="63"/>
        <v>1.33</v>
      </c>
      <c r="R51" s="3">
        <f t="shared" si="64"/>
        <v>2.66</v>
      </c>
      <c r="S51" s="3">
        <f t="shared" si="22"/>
        <v>0</v>
      </c>
      <c r="T51" s="12">
        <f t="shared" si="33"/>
        <v>0</v>
      </c>
      <c r="U51" s="21">
        <f t="shared" si="23"/>
        <v>0</v>
      </c>
      <c r="V51" s="21">
        <f t="shared" si="65"/>
        <v>6.75</v>
      </c>
      <c r="W51" s="3">
        <f t="shared" si="41"/>
        <v>0.81681408993334625</v>
      </c>
      <c r="X51" s="48">
        <f t="shared" si="45"/>
        <v>1641.6120769863419</v>
      </c>
      <c r="Y51" s="48">
        <f>IF(W51="#N/D",NA(),IF(CAPA!$I$13=0,$C$16*T51,IF(CAPA!$I$13="Rp = 0",0,IF(CAPA!$I$13="Rp &lt; RL",IF($C$16*T51&gt;X51,X51,$C$16*T51),$C$16*T51))))</f>
        <v>0</v>
      </c>
      <c r="Z51" s="48" t="e">
        <f t="shared" si="83"/>
        <v>#N/A</v>
      </c>
      <c r="AA51" s="48" t="e">
        <f t="shared" si="34"/>
        <v>#N/A</v>
      </c>
      <c r="AC51" t="str">
        <f t="shared" si="66"/>
        <v/>
      </c>
      <c r="AD51" s="3" t="str">
        <f t="shared" si="67"/>
        <v/>
      </c>
      <c r="AE51" s="3" t="str">
        <f t="shared" si="68"/>
        <v/>
      </c>
      <c r="AF51" s="3" t="str">
        <f t="shared" si="69"/>
        <v/>
      </c>
      <c r="AG51" s="3">
        <f t="shared" si="55"/>
        <v>0</v>
      </c>
      <c r="AH51" s="12">
        <f t="shared" si="35"/>
        <v>0</v>
      </c>
      <c r="AI51" s="21">
        <f t="shared" si="26"/>
        <v>0</v>
      </c>
      <c r="AJ51" s="21">
        <f t="shared" si="70"/>
        <v>6.75</v>
      </c>
      <c r="AK51" s="3">
        <f t="shared" si="71"/>
        <v>0.81681408993334625</v>
      </c>
      <c r="AL51" s="48" t="e">
        <f t="shared" si="56"/>
        <v>#N/A</v>
      </c>
      <c r="AM51" s="12" t="e">
        <f>IF(AK51="#N/D",NA(),
        IF(CAPA!$I$13=0,AE51*$C$16*AH51,
             IF(CAPA!$I$13="Rp = 0",0,
                  IF(CAPA!$I$13="Rp &lt; RL",IF(AE51*$C$16*AH51&gt;AL51,AL51,AE51*$C$16*AH51),AE51*$C$16*AH51))))</f>
        <v>#VALUE!</v>
      </c>
      <c r="AN51" s="46" t="e">
        <f t="shared" si="57"/>
        <v>#N/A</v>
      </c>
      <c r="AO51" s="46" t="e">
        <f t="shared" si="27"/>
        <v>#N/A</v>
      </c>
      <c r="AQ51" t="str">
        <f t="shared" si="72"/>
        <v/>
      </c>
      <c r="AR51" s="3" t="str">
        <f t="shared" si="73"/>
        <v/>
      </c>
      <c r="AS51" s="3">
        <f t="shared" si="28"/>
        <v>4</v>
      </c>
      <c r="AT51" s="19">
        <f t="shared" si="74"/>
        <v>0</v>
      </c>
      <c r="AU51" s="12">
        <f t="shared" si="38"/>
        <v>0</v>
      </c>
      <c r="AV51" s="21">
        <f t="shared" si="29"/>
        <v>0</v>
      </c>
      <c r="AW51" s="21">
        <f t="shared" si="75"/>
        <v>6.75</v>
      </c>
      <c r="AX51" s="3">
        <f t="shared" si="76"/>
        <v>0.81681408993334625</v>
      </c>
      <c r="AY51" s="48">
        <f t="shared" si="81"/>
        <v>970.37513884081534</v>
      </c>
      <c r="AZ51" s="19">
        <f>IF(K51&lt;=$C$28,NA(),IF(CAPA!$I$13=0,$C$16*AU51,IF(CAPA!$I$13="Rp = 0",0,IF(CAPA!$I$13="Rp &lt; RL",IF($C$16*AU51&gt;AY51,AY51,$C$16*AU51),$C$16*AU51))))</f>
        <v>0</v>
      </c>
      <c r="BA51" s="11" t="e">
        <f t="shared" si="77"/>
        <v>#N/A</v>
      </c>
      <c r="BB51" s="11" t="e">
        <f t="shared" si="78"/>
        <v>#N/A</v>
      </c>
      <c r="BD51" s="2" t="e">
        <f t="shared" si="79"/>
        <v>#N/A</v>
      </c>
      <c r="BE51" s="48" t="e">
        <f t="shared" si="30"/>
        <v>#N/A</v>
      </c>
      <c r="BF51" s="12" t="e">
        <f t="shared" si="31"/>
        <v>#VALUE!</v>
      </c>
      <c r="BG51" s="11" t="e">
        <f t="shared" si="80"/>
        <v>#N/A</v>
      </c>
      <c r="BH51" s="11" t="e">
        <f t="shared" si="40"/>
        <v>#N/A</v>
      </c>
      <c r="CT51" s="263"/>
    </row>
    <row r="52" spans="1:112">
      <c r="B52" s="5" t="s">
        <v>141</v>
      </c>
      <c r="C52" s="48">
        <f>IF(C48=0,"",LOOKUP((C29-1),E7:E56,AN7:AN56))</f>
        <v>383.22194386039502</v>
      </c>
      <c r="E52" s="2">
        <v>46</v>
      </c>
      <c r="F52" s="5">
        <f>IFERROR(LOOKUP(E52,CAPA!$C$8:$C$57,CAPA!$F$8:$F$57),"")</f>
        <v>0</v>
      </c>
      <c r="G52" s="2" t="str">
        <f t="shared" si="59"/>
        <v/>
      </c>
      <c r="H52" s="2" t="str">
        <f>IFERROR(LOOKUP(F52,Compatibilidade!$C$6:$C$20,Compatibilidade!$D$6:$D$20),"")</f>
        <v/>
      </c>
      <c r="I52" s="2" t="str">
        <f>IFERROR(LOOKUP(F52,Compatibilidade!$C$6:$C$20,Compatibilidade!$E$6:$E$20),"")</f>
        <v/>
      </c>
      <c r="J52" s="2" t="str">
        <f>IFERROR(LOOKUP(F52,Compatibilidade!$C$6:$C$20,Compatibilidade!$F$6:$F$20),"")</f>
        <v/>
      </c>
      <c r="K52" s="124">
        <v>46</v>
      </c>
      <c r="L52" s="48">
        <f>IF(COUNTIF($BK$8:$BK$22,CAPA!F54)&gt;0,CAPA!D54,
        IF(CAPA!F54=$BK$23, IF(CAPA!$I$21="Nula",0,CAPA!D54),
             IF(CAPA!F54=$BK$24, IF(CAPA!$I$22="Negativa",-ABS(CAPA!D54),0),CAPA!D54)))</f>
        <v>0</v>
      </c>
      <c r="M52" s="48">
        <f>CAPA!E54</f>
        <v>0</v>
      </c>
      <c r="N52" s="2" t="str">
        <f t="shared" si="60"/>
        <v/>
      </c>
      <c r="O52" s="8" t="str">
        <f t="shared" si="61"/>
        <v/>
      </c>
      <c r="P52" s="3" t="str">
        <f t="shared" si="62"/>
        <v/>
      </c>
      <c r="Q52" s="3">
        <f t="shared" si="63"/>
        <v>1.33</v>
      </c>
      <c r="R52" s="3">
        <f t="shared" si="64"/>
        <v>2.66</v>
      </c>
      <c r="S52" s="3">
        <f t="shared" si="22"/>
        <v>0</v>
      </c>
      <c r="T52" s="12">
        <f t="shared" si="33"/>
        <v>0</v>
      </c>
      <c r="U52" s="21">
        <f t="shared" si="23"/>
        <v>0</v>
      </c>
      <c r="V52" s="21">
        <f t="shared" si="65"/>
        <v>6.6</v>
      </c>
      <c r="W52" s="3">
        <f t="shared" si="41"/>
        <v>0.81681408993334625</v>
      </c>
      <c r="X52" s="48">
        <f t="shared" si="45"/>
        <v>1641.6120769863419</v>
      </c>
      <c r="Y52" s="48">
        <f>IF(W52="#N/D",NA(),IF(CAPA!$I$13=0,$C$16*T52,IF(CAPA!$I$13="Rp = 0",0,IF(CAPA!$I$13="Rp &lt; RL",IF($C$16*T52&gt;X52,X52,$C$16*T52),$C$16*T52))))</f>
        <v>0</v>
      </c>
      <c r="Z52" s="48" t="e">
        <f t="shared" si="83"/>
        <v>#N/A</v>
      </c>
      <c r="AA52" s="48" t="e">
        <f t="shared" si="34"/>
        <v>#N/A</v>
      </c>
      <c r="AC52" t="str">
        <f t="shared" si="66"/>
        <v/>
      </c>
      <c r="AD52" s="3" t="str">
        <f t="shared" si="67"/>
        <v/>
      </c>
      <c r="AE52" s="3" t="str">
        <f t="shared" si="68"/>
        <v/>
      </c>
      <c r="AF52" s="3" t="str">
        <f t="shared" si="69"/>
        <v/>
      </c>
      <c r="AG52" s="3">
        <f t="shared" si="55"/>
        <v>0</v>
      </c>
      <c r="AH52" s="12">
        <f t="shared" si="35"/>
        <v>0</v>
      </c>
      <c r="AI52" s="21">
        <f t="shared" si="26"/>
        <v>0</v>
      </c>
      <c r="AJ52" s="21">
        <f t="shared" si="70"/>
        <v>6.6</v>
      </c>
      <c r="AK52" s="3">
        <f t="shared" si="71"/>
        <v>0.81681408993334625</v>
      </c>
      <c r="AL52" s="48" t="e">
        <f t="shared" si="56"/>
        <v>#N/A</v>
      </c>
      <c r="AM52" s="12" t="e">
        <f>IF(AK52="#N/D",NA(),
        IF(CAPA!$I$13=0,AE52*$C$16*AH52,
             IF(CAPA!$I$13="Rp = 0",0,
                  IF(CAPA!$I$13="Rp &lt; RL",IF(AE52*$C$16*AH52&gt;AL52,AL52,AE52*$C$16*AH52),AE52*$C$16*AH52))))</f>
        <v>#VALUE!</v>
      </c>
      <c r="AN52" s="46" t="e">
        <f t="shared" si="57"/>
        <v>#N/A</v>
      </c>
      <c r="AO52" s="46" t="e">
        <f t="shared" si="27"/>
        <v>#N/A</v>
      </c>
      <c r="AQ52" t="str">
        <f t="shared" si="72"/>
        <v/>
      </c>
      <c r="AR52" s="3" t="str">
        <f t="shared" si="73"/>
        <v/>
      </c>
      <c r="AS52" s="3">
        <f t="shared" si="28"/>
        <v>4</v>
      </c>
      <c r="AT52" s="19">
        <f t="shared" si="74"/>
        <v>0</v>
      </c>
      <c r="AU52" s="12">
        <f t="shared" si="38"/>
        <v>0</v>
      </c>
      <c r="AV52" s="21">
        <f t="shared" si="29"/>
        <v>0</v>
      </c>
      <c r="AW52" s="21">
        <f t="shared" si="75"/>
        <v>6.6</v>
      </c>
      <c r="AX52" s="3">
        <f t="shared" si="76"/>
        <v>0.81681408993334625</v>
      </c>
      <c r="AY52" s="48">
        <f t="shared" si="81"/>
        <v>970.37513884081534</v>
      </c>
      <c r="AZ52" s="19">
        <f>IF(K52&lt;=$C$28,NA(),IF(CAPA!$I$13=0,$C$16*AU52,IF(CAPA!$I$13="Rp = 0",0,IF(CAPA!$I$13="Rp &lt; RL",IF($C$16*AU52&gt;AY52,AY52,$C$16*AU52),$C$16*AU52))))</f>
        <v>0</v>
      </c>
      <c r="BA52" s="11" t="e">
        <f t="shared" si="77"/>
        <v>#N/A</v>
      </c>
      <c r="BB52" s="11" t="e">
        <f t="shared" si="78"/>
        <v>#N/A</v>
      </c>
      <c r="BD52" s="2" t="e">
        <f t="shared" si="79"/>
        <v>#N/A</v>
      </c>
      <c r="BE52" s="48" t="e">
        <f t="shared" si="30"/>
        <v>#N/A</v>
      </c>
      <c r="BF52" s="12" t="e">
        <f t="shared" si="31"/>
        <v>#VALUE!</v>
      </c>
      <c r="BG52" s="11" t="e">
        <f t="shared" si="80"/>
        <v>#N/A</v>
      </c>
      <c r="BH52" s="11" t="e">
        <f t="shared" si="40"/>
        <v>#N/A</v>
      </c>
      <c r="CT52" s="261"/>
    </row>
    <row r="53" spans="1:112">
      <c r="E53" s="2">
        <v>47</v>
      </c>
      <c r="F53" s="5">
        <f>IFERROR(LOOKUP(E53,CAPA!$C$8:$C$57,CAPA!$F$8:$F$57),"")</f>
        <v>0</v>
      </c>
      <c r="G53" s="2" t="str">
        <f t="shared" si="59"/>
        <v/>
      </c>
      <c r="H53" s="2" t="str">
        <f>IFERROR(LOOKUP(F53,Compatibilidade!$C$6:$C$20,Compatibilidade!$D$6:$D$20),"")</f>
        <v/>
      </c>
      <c r="I53" s="2" t="str">
        <f>IFERROR(LOOKUP(F53,Compatibilidade!$C$6:$C$20,Compatibilidade!$E$6:$E$20),"")</f>
        <v/>
      </c>
      <c r="J53" s="2" t="str">
        <f>IFERROR(LOOKUP(F53,Compatibilidade!$C$6:$C$20,Compatibilidade!$F$6:$F$20),"")</f>
        <v/>
      </c>
      <c r="K53" s="124">
        <v>47</v>
      </c>
      <c r="L53" s="48">
        <f>IF(COUNTIF($BK$8:$BK$22,CAPA!F55)&gt;0,CAPA!D55,
        IF(CAPA!F55=$BK$23, IF(CAPA!$I$21="Nula",0,CAPA!D55),
             IF(CAPA!F55=$BK$24, IF(CAPA!$I$22="Negativa",-ABS(CAPA!D55),0),CAPA!D55)))</f>
        <v>0</v>
      </c>
      <c r="M53" s="48">
        <f>CAPA!E55</f>
        <v>0</v>
      </c>
      <c r="N53" s="2" t="str">
        <f t="shared" si="60"/>
        <v/>
      </c>
      <c r="O53" s="8" t="str">
        <f t="shared" si="61"/>
        <v/>
      </c>
      <c r="P53" s="3" t="str">
        <f t="shared" si="62"/>
        <v/>
      </c>
      <c r="Q53" s="3">
        <f t="shared" si="63"/>
        <v>1.33</v>
      </c>
      <c r="R53" s="3">
        <f t="shared" si="64"/>
        <v>2.66</v>
      </c>
      <c r="S53" s="3">
        <f t="shared" si="22"/>
        <v>0</v>
      </c>
      <c r="T53" s="12">
        <f t="shared" si="33"/>
        <v>0</v>
      </c>
      <c r="U53" s="21">
        <f t="shared" si="23"/>
        <v>0</v>
      </c>
      <c r="V53" s="21">
        <f t="shared" si="65"/>
        <v>6.4565217391304346</v>
      </c>
      <c r="W53" s="3">
        <f t="shared" si="41"/>
        <v>0.81681408993334625</v>
      </c>
      <c r="X53" s="48">
        <f t="shared" si="45"/>
        <v>1641.6120769863419</v>
      </c>
      <c r="Y53" s="48">
        <f>IF(W53="#N/D",NA(),IF(CAPA!$I$13=0,$C$16*T53,IF(CAPA!$I$13="Rp = 0",0,IF(CAPA!$I$13="Rp &lt; RL",IF($C$16*T53&gt;X53,X53,$C$16*T53),$C$16*T53))))</f>
        <v>0</v>
      </c>
      <c r="Z53" s="48" t="e">
        <f t="shared" si="83"/>
        <v>#N/A</v>
      </c>
      <c r="AA53" s="48" t="e">
        <f t="shared" si="34"/>
        <v>#N/A</v>
      </c>
      <c r="AC53" t="str">
        <f t="shared" si="66"/>
        <v/>
      </c>
      <c r="AD53" s="3" t="str">
        <f t="shared" si="67"/>
        <v/>
      </c>
      <c r="AE53" s="3" t="str">
        <f t="shared" si="68"/>
        <v/>
      </c>
      <c r="AF53" s="3" t="str">
        <f t="shared" si="69"/>
        <v/>
      </c>
      <c r="AG53" s="3">
        <f t="shared" si="55"/>
        <v>0</v>
      </c>
      <c r="AH53" s="12">
        <f t="shared" si="35"/>
        <v>0</v>
      </c>
      <c r="AI53" s="21">
        <f t="shared" si="26"/>
        <v>0</v>
      </c>
      <c r="AJ53" s="21">
        <f t="shared" si="70"/>
        <v>6.4565217391304346</v>
      </c>
      <c r="AK53" s="3">
        <f t="shared" si="71"/>
        <v>0.81681408993334625</v>
      </c>
      <c r="AL53" s="48" t="e">
        <f t="shared" si="56"/>
        <v>#N/A</v>
      </c>
      <c r="AM53" s="12" t="e">
        <f>IF(AK53="#N/D",NA(),
        IF(CAPA!$I$13=0,AE53*$C$16*AH53,
             IF(CAPA!$I$13="Rp = 0",0,
                  IF(CAPA!$I$13="Rp &lt; RL",IF(AE53*$C$16*AH53&gt;AL53,AL53,AE53*$C$16*AH53),AE53*$C$16*AH53))))</f>
        <v>#VALUE!</v>
      </c>
      <c r="AN53" s="46" t="e">
        <f t="shared" si="57"/>
        <v>#N/A</v>
      </c>
      <c r="AO53" s="46" t="e">
        <f t="shared" si="27"/>
        <v>#N/A</v>
      </c>
      <c r="AQ53" t="str">
        <f t="shared" si="72"/>
        <v/>
      </c>
      <c r="AR53" s="3" t="str">
        <f t="shared" si="73"/>
        <v/>
      </c>
      <c r="AS53" s="3">
        <f t="shared" si="28"/>
        <v>4</v>
      </c>
      <c r="AT53" s="19">
        <f t="shared" si="74"/>
        <v>0</v>
      </c>
      <c r="AU53" s="12">
        <f t="shared" si="38"/>
        <v>0</v>
      </c>
      <c r="AV53" s="21">
        <f t="shared" si="29"/>
        <v>0</v>
      </c>
      <c r="AW53" s="21">
        <f t="shared" si="75"/>
        <v>6.4565217391304346</v>
      </c>
      <c r="AX53" s="3">
        <f t="shared" si="76"/>
        <v>0.81681408993334625</v>
      </c>
      <c r="AY53" s="48">
        <f t="shared" si="81"/>
        <v>970.37513884081534</v>
      </c>
      <c r="AZ53" s="19">
        <f>IF(K53&lt;=$C$28,NA(),IF(CAPA!$I$13=0,$C$16*AU53,IF(CAPA!$I$13="Rp = 0",0,IF(CAPA!$I$13="Rp &lt; RL",IF($C$16*AU53&gt;AY53,AY53,$C$16*AU53),$C$16*AU53))))</f>
        <v>0</v>
      </c>
      <c r="BA53" s="11" t="e">
        <f t="shared" si="77"/>
        <v>#N/A</v>
      </c>
      <c r="BB53" s="11" t="e">
        <f t="shared" si="78"/>
        <v>#N/A</v>
      </c>
      <c r="BD53" s="2" t="e">
        <f t="shared" si="79"/>
        <v>#N/A</v>
      </c>
      <c r="BE53" s="48" t="e">
        <f t="shared" si="30"/>
        <v>#N/A</v>
      </c>
      <c r="BF53" s="12" t="e">
        <f t="shared" si="31"/>
        <v>#VALUE!</v>
      </c>
      <c r="BG53" s="11" t="e">
        <f t="shared" si="80"/>
        <v>#N/A</v>
      </c>
      <c r="BH53" s="11" t="e">
        <f t="shared" si="40"/>
        <v>#N/A</v>
      </c>
    </row>
    <row r="54" spans="1:112">
      <c r="E54" s="2">
        <v>48</v>
      </c>
      <c r="F54" s="5">
        <f>IFERROR(LOOKUP(E54,CAPA!$C$8:$C$57,CAPA!$F$8:$F$57),"")</f>
        <v>0</v>
      </c>
      <c r="G54" s="2" t="str">
        <f t="shared" si="59"/>
        <v/>
      </c>
      <c r="H54" s="2" t="str">
        <f>IFERROR(LOOKUP(F54,Compatibilidade!$C$6:$C$20,Compatibilidade!$D$6:$D$20),"")</f>
        <v/>
      </c>
      <c r="I54" s="2" t="str">
        <f>IFERROR(LOOKUP(F54,Compatibilidade!$C$6:$C$20,Compatibilidade!$E$6:$E$20),"")</f>
        <v/>
      </c>
      <c r="J54" s="2" t="str">
        <f>IFERROR(LOOKUP(F54,Compatibilidade!$C$6:$C$20,Compatibilidade!$F$6:$F$20),"")</f>
        <v/>
      </c>
      <c r="K54" s="124">
        <v>48</v>
      </c>
      <c r="L54" s="48">
        <f>IF(COUNTIF($BK$8:$BK$22,CAPA!F56)&gt;0,CAPA!D56,
        IF(CAPA!F56=$BK$23, IF(CAPA!$I$21="Nula",0,CAPA!D56),
             IF(CAPA!F56=$BK$24, IF(CAPA!$I$22="Negativa",-ABS(CAPA!D56),0),CAPA!D56)))</f>
        <v>0</v>
      </c>
      <c r="M54" s="48">
        <f>CAPA!E56</f>
        <v>0</v>
      </c>
      <c r="N54" s="2" t="str">
        <f t="shared" si="60"/>
        <v/>
      </c>
      <c r="O54" s="8" t="str">
        <f t="shared" si="61"/>
        <v/>
      </c>
      <c r="P54" s="3" t="str">
        <f t="shared" si="62"/>
        <v/>
      </c>
      <c r="Q54" s="3">
        <f t="shared" si="63"/>
        <v>1.33</v>
      </c>
      <c r="R54" s="3">
        <f t="shared" si="64"/>
        <v>2.66</v>
      </c>
      <c r="S54" s="3">
        <f t="shared" si="22"/>
        <v>0</v>
      </c>
      <c r="T54" s="12">
        <f t="shared" si="33"/>
        <v>0</v>
      </c>
      <c r="U54" s="21">
        <f t="shared" si="23"/>
        <v>0</v>
      </c>
      <c r="V54" s="21">
        <f t="shared" si="65"/>
        <v>6.3191489361702127</v>
      </c>
      <c r="W54" s="3">
        <f t="shared" si="41"/>
        <v>0.81681408993334625</v>
      </c>
      <c r="X54" s="48">
        <f t="shared" si="45"/>
        <v>1641.6120769863419</v>
      </c>
      <c r="Y54" s="48">
        <f>IF(W54="#N/D",NA(),IF(CAPA!$I$13=0,$C$16*T54,IF(CAPA!$I$13="Rp = 0",0,IF(CAPA!$I$13="Rp &lt; RL",IF($C$16*T54&gt;X54,X54,$C$16*T54),$C$16*T54))))</f>
        <v>0</v>
      </c>
      <c r="Z54" s="48" t="e">
        <f t="shared" si="83"/>
        <v>#N/A</v>
      </c>
      <c r="AA54" s="48" t="e">
        <f t="shared" si="34"/>
        <v>#N/A</v>
      </c>
      <c r="AC54" t="str">
        <f t="shared" si="66"/>
        <v/>
      </c>
      <c r="AD54" s="3" t="str">
        <f t="shared" si="67"/>
        <v/>
      </c>
      <c r="AE54" s="3" t="str">
        <f t="shared" si="68"/>
        <v/>
      </c>
      <c r="AF54" s="3" t="str">
        <f t="shared" si="69"/>
        <v/>
      </c>
      <c r="AG54" s="3">
        <f t="shared" si="55"/>
        <v>0</v>
      </c>
      <c r="AH54" s="12">
        <f t="shared" si="35"/>
        <v>0</v>
      </c>
      <c r="AI54" s="21">
        <f t="shared" si="26"/>
        <v>0</v>
      </c>
      <c r="AJ54" s="21">
        <f t="shared" si="70"/>
        <v>6.3191489361702127</v>
      </c>
      <c r="AK54" s="3">
        <f t="shared" si="71"/>
        <v>0.81681408993334625</v>
      </c>
      <c r="AL54" s="48" t="e">
        <f t="shared" si="56"/>
        <v>#N/A</v>
      </c>
      <c r="AM54" s="12" t="e">
        <f>IF(AK54="#N/D",NA(),
        IF(CAPA!$I$13=0,AE54*$C$16*AH54,
             IF(CAPA!$I$13="Rp = 0",0,
                  IF(CAPA!$I$13="Rp &lt; RL",IF(AE54*$C$16*AH54&gt;AL54,AL54,AE54*$C$16*AH54),AE54*$C$16*AH54))))</f>
        <v>#VALUE!</v>
      </c>
      <c r="AN54" s="46" t="e">
        <f t="shared" si="57"/>
        <v>#N/A</v>
      </c>
      <c r="AO54" s="46" t="e">
        <f t="shared" si="27"/>
        <v>#N/A</v>
      </c>
      <c r="AQ54" t="str">
        <f t="shared" si="72"/>
        <v/>
      </c>
      <c r="AR54" s="3" t="str">
        <f t="shared" si="73"/>
        <v/>
      </c>
      <c r="AS54" s="3">
        <f t="shared" si="28"/>
        <v>4</v>
      </c>
      <c r="AT54" s="19">
        <f t="shared" si="74"/>
        <v>0</v>
      </c>
      <c r="AU54" s="12">
        <f t="shared" si="38"/>
        <v>0</v>
      </c>
      <c r="AV54" s="21">
        <f t="shared" si="29"/>
        <v>0</v>
      </c>
      <c r="AW54" s="21">
        <f t="shared" si="75"/>
        <v>6.3191489361702127</v>
      </c>
      <c r="AX54" s="3">
        <f t="shared" si="76"/>
        <v>0.81681408993334625</v>
      </c>
      <c r="AY54" s="48">
        <f t="shared" si="81"/>
        <v>970.37513884081534</v>
      </c>
      <c r="AZ54" s="19">
        <f>IF(K54&lt;=$C$28,NA(),IF(CAPA!$I$13=0,$C$16*AU54,IF(CAPA!$I$13="Rp = 0",0,IF(CAPA!$I$13="Rp &lt; RL",IF($C$16*AU54&gt;AY54,AY54,$C$16*AU54),$C$16*AU54))))</f>
        <v>0</v>
      </c>
      <c r="BA54" s="11" t="e">
        <f t="shared" si="77"/>
        <v>#N/A</v>
      </c>
      <c r="BB54" s="11" t="e">
        <f t="shared" si="78"/>
        <v>#N/A</v>
      </c>
      <c r="BD54" s="2" t="e">
        <f t="shared" si="79"/>
        <v>#N/A</v>
      </c>
      <c r="BE54" s="48" t="e">
        <f t="shared" si="30"/>
        <v>#N/A</v>
      </c>
      <c r="BF54" s="12" t="e">
        <f t="shared" si="31"/>
        <v>#VALUE!</v>
      </c>
      <c r="BG54" s="11" t="e">
        <f t="shared" si="80"/>
        <v>#N/A</v>
      </c>
      <c r="BH54" s="11" t="e">
        <f t="shared" si="40"/>
        <v>#N/A</v>
      </c>
    </row>
    <row r="55" spans="1:112">
      <c r="A55" t="s">
        <v>139</v>
      </c>
      <c r="B55" s="2" t="s">
        <v>156</v>
      </c>
      <c r="C55" s="2">
        <f>LOOKUP((C29),E7:E56,AV7:AV56)</f>
        <v>9.9384615384615387</v>
      </c>
      <c r="E55" s="2">
        <v>49</v>
      </c>
      <c r="F55" s="5">
        <f>IFERROR(LOOKUP(E55,CAPA!$C$8:$C$57,CAPA!$F$8:$F$57),"")</f>
        <v>0</v>
      </c>
      <c r="G55" s="2" t="str">
        <f t="shared" si="59"/>
        <v/>
      </c>
      <c r="H55" s="2" t="str">
        <f>IFERROR(LOOKUP(F55,Compatibilidade!$C$6:$C$20,Compatibilidade!$D$6:$D$20),"")</f>
        <v/>
      </c>
      <c r="I55" s="2" t="str">
        <f>IFERROR(LOOKUP(F55,Compatibilidade!$C$6:$C$20,Compatibilidade!$E$6:$E$20),"")</f>
        <v/>
      </c>
      <c r="J55" s="2" t="str">
        <f>IFERROR(LOOKUP(F55,Compatibilidade!$C$6:$C$20,Compatibilidade!$F$6:$F$20),"")</f>
        <v/>
      </c>
      <c r="K55" s="124">
        <v>49</v>
      </c>
      <c r="L55" s="48">
        <f>IF(COUNTIF($BK$8:$BK$22,CAPA!F57)&gt;0,CAPA!D57,
        IF(CAPA!F57=$BK$23, IF(CAPA!$I$21="Nula",0,CAPA!D57),
             IF(CAPA!F57=$BK$24, IF(CAPA!$I$22="Negativa",-ABS(CAPA!D57),0),CAPA!D57)))</f>
        <v>0</v>
      </c>
      <c r="M55" s="48">
        <f>CAPA!E57</f>
        <v>0</v>
      </c>
      <c r="N55" s="2" t="str">
        <f t="shared" si="60"/>
        <v/>
      </c>
      <c r="O55" s="8" t="str">
        <f t="shared" si="61"/>
        <v/>
      </c>
      <c r="P55" s="3" t="str">
        <f t="shared" si="62"/>
        <v/>
      </c>
      <c r="Q55" s="3">
        <f t="shared" si="63"/>
        <v>1.33</v>
      </c>
      <c r="R55" s="3">
        <f t="shared" si="64"/>
        <v>2.66</v>
      </c>
      <c r="S55" s="3">
        <f t="shared" si="22"/>
        <v>0</v>
      </c>
      <c r="T55" s="12">
        <f t="shared" si="33"/>
        <v>0</v>
      </c>
      <c r="U55" s="21">
        <f t="shared" si="23"/>
        <v>0</v>
      </c>
      <c r="V55" s="21">
        <f t="shared" si="65"/>
        <v>6.1875</v>
      </c>
      <c r="W55" s="3">
        <f t="shared" si="41"/>
        <v>0.81681408993334625</v>
      </c>
      <c r="X55" s="48">
        <f t="shared" si="45"/>
        <v>1641.6120769863419</v>
      </c>
      <c r="Y55" s="48">
        <f>IF(W55="#N/D",NA(),IF(CAPA!$I$13=0,$C$16*T55,IF(CAPA!$I$13="Rp = 0",0,IF(CAPA!$I$13="Rp &lt; RL",IF($C$16*T55&gt;X55,X55,$C$16*T55),$C$16*T55))))</f>
        <v>0</v>
      </c>
      <c r="Z55" s="48" t="e">
        <f>IF(O55="",NA(),IF(W55="#N/D",NA(),X55+Y55))</f>
        <v>#N/A</v>
      </c>
      <c r="AA55" s="48" t="e">
        <f t="shared" si="34"/>
        <v>#N/A</v>
      </c>
      <c r="AC55" t="str">
        <f t="shared" si="66"/>
        <v/>
      </c>
      <c r="AD55" s="3" t="str">
        <f t="shared" si="67"/>
        <v/>
      </c>
      <c r="AE55" s="3" t="str">
        <f t="shared" si="68"/>
        <v/>
      </c>
      <c r="AF55" s="3" t="str">
        <f t="shared" si="69"/>
        <v/>
      </c>
      <c r="AG55" s="3">
        <f t="shared" si="55"/>
        <v>0</v>
      </c>
      <c r="AH55" s="12">
        <f t="shared" si="35"/>
        <v>0</v>
      </c>
      <c r="AI55" s="21">
        <f t="shared" si="26"/>
        <v>0</v>
      </c>
      <c r="AJ55" s="21">
        <f t="shared" si="70"/>
        <v>6.1875</v>
      </c>
      <c r="AK55" s="3">
        <f t="shared" si="71"/>
        <v>0.81681408993334625</v>
      </c>
      <c r="AL55" s="48" t="e">
        <f t="shared" si="56"/>
        <v>#N/A</v>
      </c>
      <c r="AM55" s="12" t="e">
        <f>IF(AK55="#N/D",NA(),
        IF(CAPA!$I$13=0,AE55*$C$16*AH55,
             IF(CAPA!$I$13="Rp = 0",0,
                  IF(CAPA!$I$13="Rp &lt; RL",IF(AE55*$C$16*AH55&gt;AL55,AL55,AE55*$C$16*AH55),AE55*$C$16*AH55))))</f>
        <v>#VALUE!</v>
      </c>
      <c r="AN55" s="46" t="e">
        <f t="shared" si="57"/>
        <v>#N/A</v>
      </c>
      <c r="AO55" s="46" t="e">
        <f t="shared" si="27"/>
        <v>#N/A</v>
      </c>
      <c r="AQ55" t="str">
        <f t="shared" si="72"/>
        <v/>
      </c>
      <c r="AR55" s="3" t="str">
        <f t="shared" si="73"/>
        <v/>
      </c>
      <c r="AS55" s="3">
        <f t="shared" si="28"/>
        <v>4</v>
      </c>
      <c r="AT55" s="19">
        <f t="shared" si="74"/>
        <v>0</v>
      </c>
      <c r="AU55" s="12">
        <f t="shared" si="38"/>
        <v>0</v>
      </c>
      <c r="AV55" s="21">
        <f t="shared" si="29"/>
        <v>0</v>
      </c>
      <c r="AW55" s="21">
        <f t="shared" si="75"/>
        <v>6.1875</v>
      </c>
      <c r="AX55" s="3">
        <f t="shared" si="76"/>
        <v>0.81681408993334625</v>
      </c>
      <c r="AY55" s="48">
        <f t="shared" si="81"/>
        <v>970.37513884081534</v>
      </c>
      <c r="AZ55" s="19">
        <f>IF(K55&lt;=$C$28,NA(),IF(CAPA!$I$13=0,$C$16*AU55,IF(CAPA!$I$13="Rp = 0",0,IF(CAPA!$I$13="Rp &lt; RL",IF($C$16*AU55&gt;AY55,AY55,$C$16*AU55),$C$16*AU55))))</f>
        <v>0</v>
      </c>
      <c r="BA55" s="11" t="e">
        <f t="shared" si="77"/>
        <v>#N/A</v>
      </c>
      <c r="BB55" s="11" t="e">
        <f t="shared" si="78"/>
        <v>#N/A</v>
      </c>
      <c r="BD55" s="2" t="e">
        <f t="shared" si="79"/>
        <v>#N/A</v>
      </c>
      <c r="BE55" s="48" t="e">
        <f t="shared" si="30"/>
        <v>#N/A</v>
      </c>
      <c r="BF55" s="12" t="e">
        <f t="shared" si="31"/>
        <v>#VALUE!</v>
      </c>
      <c r="BG55" s="11" t="e">
        <f t="shared" si="80"/>
        <v>#N/A</v>
      </c>
      <c r="BH55" s="11" t="e">
        <f t="shared" si="40"/>
        <v>#N/A</v>
      </c>
    </row>
    <row r="56" spans="1:112">
      <c r="A56" t="s">
        <v>139</v>
      </c>
      <c r="B56" s="2" t="s">
        <v>155</v>
      </c>
      <c r="C56" s="2">
        <f>SUMIF(AQ6:AQ56,1,L6:L56)/$AQ$4</f>
        <v>5.666666666666667</v>
      </c>
      <c r="E56" s="2">
        <v>50</v>
      </c>
      <c r="F56" s="5">
        <f>IFERROR(LOOKUP(E56,CAPA!$C$8:$C$57,CAPA!$F$8:$F$57),"")</f>
        <v>0</v>
      </c>
      <c r="G56" s="2" t="str">
        <f t="shared" si="59"/>
        <v/>
      </c>
      <c r="H56" s="2" t="str">
        <f>IFERROR(LOOKUP(F56,Compatibilidade!$C$6:$C$20,Compatibilidade!$D$6:$D$20),"")</f>
        <v/>
      </c>
      <c r="I56" s="2" t="str">
        <f>IFERROR(LOOKUP(F56,Compatibilidade!$C$6:$C$20,Compatibilidade!$E$6:$E$20),"")</f>
        <v/>
      </c>
      <c r="J56" s="2" t="str">
        <f>IFERROR(LOOKUP(F56,Compatibilidade!$C$6:$C$20,Compatibilidade!$F$6:$F$20),"")</f>
        <v/>
      </c>
      <c r="K56" s="124">
        <v>50</v>
      </c>
      <c r="L56" s="48">
        <f>IF(COUNTIF($BK$8:$BK$22,CAPA!F58)&gt;0,CAPA!D58,
        IF(CAPA!F58=$BK$23, IF(CAPA!$I$21="Nula",0,CAPA!D58),
             IF(CAPA!F58=$BK$24, IF(CAPA!$I$22="Negativa",-ABS(CAPA!D58),0),CAPA!D58)))</f>
        <v>0</v>
      </c>
      <c r="M56" s="48">
        <f>CAPA!E58</f>
        <v>0</v>
      </c>
      <c r="N56" s="2" t="str">
        <f t="shared" si="60"/>
        <v/>
      </c>
      <c r="O56" s="8" t="str">
        <f t="shared" si="61"/>
        <v/>
      </c>
      <c r="P56" s="3" t="str">
        <f t="shared" si="62"/>
        <v/>
      </c>
      <c r="Q56" s="3">
        <f t="shared" si="63"/>
        <v>1.33</v>
      </c>
      <c r="R56" s="3">
        <f t="shared" si="64"/>
        <v>2.66</v>
      </c>
      <c r="S56" s="3">
        <f t="shared" si="22"/>
        <v>0</v>
      </c>
      <c r="T56" s="12">
        <f t="shared" si="33"/>
        <v>0</v>
      </c>
      <c r="U56" s="21">
        <f t="shared" si="23"/>
        <v>0</v>
      </c>
      <c r="V56" s="21">
        <f t="shared" si="65"/>
        <v>6.0612244897959187</v>
      </c>
      <c r="W56" s="3">
        <f t="shared" si="41"/>
        <v>0.81681408993334625</v>
      </c>
      <c r="X56" s="48">
        <f t="shared" si="45"/>
        <v>1641.6120769863419</v>
      </c>
      <c r="Y56" s="48">
        <f>IF(W56="#N/D",NA(),IF(CAPA!$I$13=0,$C$16*T56,IF(CAPA!$I$13="Rp = 0",0,IF(CAPA!$I$13="Rp &lt; RL",IF($C$16*T56&gt;X56,X56,$C$16*T56),$C$16*T56))))</f>
        <v>0</v>
      </c>
      <c r="Z56" s="48" t="e">
        <f>IF(O56="",NA(),IF(W56="#N/D",NA(),X56+Y56))</f>
        <v>#N/A</v>
      </c>
      <c r="AA56" s="48" t="e">
        <f t="shared" si="34"/>
        <v>#N/A</v>
      </c>
      <c r="AC56" t="str">
        <f t="shared" si="66"/>
        <v/>
      </c>
      <c r="AD56" s="3" t="str">
        <f t="shared" si="67"/>
        <v/>
      </c>
      <c r="AE56" s="3" t="str">
        <f t="shared" si="68"/>
        <v/>
      </c>
      <c r="AF56" s="3" t="str">
        <f t="shared" si="69"/>
        <v/>
      </c>
      <c r="AG56" s="3">
        <f t="shared" si="55"/>
        <v>0</v>
      </c>
      <c r="AH56" s="12">
        <f t="shared" si="35"/>
        <v>0</v>
      </c>
      <c r="AI56" s="21">
        <f t="shared" si="26"/>
        <v>0</v>
      </c>
      <c r="AJ56" s="21">
        <f t="shared" si="70"/>
        <v>6.0612244897959187</v>
      </c>
      <c r="AK56" s="3">
        <f t="shared" si="71"/>
        <v>0.81681408993334625</v>
      </c>
      <c r="AL56" s="48" t="e">
        <f>IF(AK56="#N/D",NA(),IFERROR(AF56*AK56*AG56+AL55,IFERROR(AF56*AK56*AG56,NA())))</f>
        <v>#N/A</v>
      </c>
      <c r="AM56" s="12" t="e">
        <f>IF(AK56="#N/D",NA(),
        IF(CAPA!$I$13=0,AE56*$C$16*AH56,
             IF(CAPA!$I$13="Rp = 0",0,
                  IF(CAPA!$I$13="Rp &lt; RL",IF(AE56*$C$16*AH56&gt;AL56,AL56,AE56*$C$16*AH56),AE56*$C$16*AH56))))</f>
        <v>#VALUE!</v>
      </c>
      <c r="AN56" s="46" t="e">
        <f t="shared" si="57"/>
        <v>#N/A</v>
      </c>
      <c r="AO56" s="46" t="e">
        <f t="shared" si="27"/>
        <v>#N/A</v>
      </c>
      <c r="AQ56" t="str">
        <f t="shared" si="72"/>
        <v/>
      </c>
      <c r="AR56" s="3" t="str">
        <f t="shared" si="73"/>
        <v/>
      </c>
      <c r="AS56" s="3">
        <f t="shared" si="28"/>
        <v>4</v>
      </c>
      <c r="AT56" s="19">
        <f t="shared" si="74"/>
        <v>0</v>
      </c>
      <c r="AU56" s="12">
        <f t="shared" si="38"/>
        <v>0</v>
      </c>
      <c r="AV56" s="21">
        <f t="shared" si="29"/>
        <v>0</v>
      </c>
      <c r="AW56" s="21">
        <f t="shared" si="75"/>
        <v>6.0612244897959187</v>
      </c>
      <c r="AX56" s="3">
        <f t="shared" si="76"/>
        <v>0.81681408993334625</v>
      </c>
      <c r="AY56" s="48">
        <f t="shared" si="81"/>
        <v>970.37513884081534</v>
      </c>
      <c r="AZ56" s="19">
        <f>IF(K56&lt;=$C$28,NA(),IF(CAPA!$I$13=0,$C$16*AU56,IF(CAPA!$I$13="Rp = 0",0,IF(CAPA!$I$13="Rp &lt; RL",IF($C$16*AU56&gt;AY56,AY56,$C$16*AU56),$C$16*AU56))))</f>
        <v>0</v>
      </c>
      <c r="BA56" s="11" t="e">
        <f t="shared" si="77"/>
        <v>#N/A</v>
      </c>
      <c r="BB56" s="11" t="e">
        <f t="shared" si="78"/>
        <v>#N/A</v>
      </c>
      <c r="BD56" s="2" t="e">
        <f t="shared" si="79"/>
        <v>#N/A</v>
      </c>
      <c r="BE56" s="48" t="e">
        <f t="shared" si="30"/>
        <v>#N/A</v>
      </c>
      <c r="BF56" s="12" t="e">
        <f t="shared" si="31"/>
        <v>#VALUE!</v>
      </c>
      <c r="BG56" s="11" t="e">
        <f t="shared" si="80"/>
        <v>#N/A</v>
      </c>
      <c r="BH56" s="11" t="e">
        <f t="shared" si="40"/>
        <v>#N/A</v>
      </c>
    </row>
    <row r="57" spans="1:112">
      <c r="X57" s="3"/>
    </row>
    <row r="58" spans="1:112">
      <c r="A58" t="s">
        <v>139</v>
      </c>
      <c r="B58" s="5" t="s">
        <v>74</v>
      </c>
      <c r="C58" s="21">
        <f>LOOKUP(C29,E7:E56,AU7:AU56)</f>
        <v>2981.5384615384614</v>
      </c>
    </row>
    <row r="59" spans="1:112">
      <c r="A59" t="s">
        <v>139</v>
      </c>
      <c r="B59" s="5" t="s">
        <v>75</v>
      </c>
      <c r="C59" s="21">
        <f>SUMIF(AQ7:AQ56,1,AT7:AT56)/$AQ$4</f>
        <v>22.666666666666668</v>
      </c>
    </row>
    <row r="60" spans="1:112">
      <c r="C60" s="21"/>
    </row>
    <row r="61" spans="1:112">
      <c r="A61" t="s">
        <v>139</v>
      </c>
      <c r="B61" s="5" t="s">
        <v>76</v>
      </c>
      <c r="C61" s="48">
        <f>IF(C58=0,"",LOOKUP((C29),E7:E56,AZ7:AZ56))</f>
        <v>158.29857062908252</v>
      </c>
    </row>
    <row r="62" spans="1:112">
      <c r="A62" t="s">
        <v>139</v>
      </c>
      <c r="B62" s="5" t="s">
        <v>77</v>
      </c>
      <c r="C62" s="48">
        <f>IF(C59=0,"",LOOKUP((C29),E7:E56,AY7:AY56))</f>
        <v>222.17343246187016</v>
      </c>
    </row>
    <row r="63" spans="1:112">
      <c r="B63" s="5" t="s">
        <v>141</v>
      </c>
      <c r="C63" s="48">
        <f>IF(C59=0,"",LOOKUP((C29-1),E7:E56,BA7:BA56))</f>
        <v>310.63439840165159</v>
      </c>
    </row>
  </sheetData>
  <sheetProtection sheet="1" objects="1" scenarios="1"/>
  <mergeCells count="9">
    <mergeCell ref="CU36:DD36"/>
    <mergeCell ref="BL5:BM5"/>
    <mergeCell ref="O4:AA4"/>
    <mergeCell ref="BJ1:BQ4"/>
    <mergeCell ref="BS1:BX4"/>
    <mergeCell ref="CF1:CK4"/>
    <mergeCell ref="AD4:AO4"/>
    <mergeCell ref="AR4:BB4"/>
    <mergeCell ref="BD4:BH4"/>
  </mergeCells>
  <conditionalFormatting sqref="L7:L56">
    <cfRule type="cellIs" dxfId="36" priority="3" operator="lessThanOrEqual">
      <formula>2</formula>
    </cfRule>
  </conditionalFormatting>
  <conditionalFormatting sqref="Z7:Z56">
    <cfRule type="expression" dxfId="35" priority="47">
      <formula>E7&lt;=$C$29</formula>
    </cfRule>
  </conditionalFormatting>
  <conditionalFormatting sqref="AA7:AA56">
    <cfRule type="expression" dxfId="34" priority="48">
      <formula>E7=$C$29</formula>
    </cfRule>
  </conditionalFormatting>
  <conditionalFormatting sqref="AO7:AO56">
    <cfRule type="expression" dxfId="33" priority="49">
      <formula>E7=$C$29</formula>
    </cfRule>
  </conditionalFormatting>
  <conditionalFormatting sqref="AN7:AN56">
    <cfRule type="expression" dxfId="32" priority="50">
      <formula>E7&lt;=$C$29</formula>
    </cfRule>
  </conditionalFormatting>
  <conditionalFormatting sqref="BA7:BA56">
    <cfRule type="expression" dxfId="31" priority="51">
      <formula>E7&lt;=$C$29</formula>
    </cfRule>
  </conditionalFormatting>
  <conditionalFormatting sqref="BB7:BB56">
    <cfRule type="expression" dxfId="30" priority="52">
      <formula>E7=$C$29</formula>
    </cfRule>
  </conditionalFormatting>
  <conditionalFormatting sqref="BG7:BH56">
    <cfRule type="expression" dxfId="29" priority="2">
      <formula>G7=$C$29</formula>
    </cfRule>
  </conditionalFormatting>
  <pageMargins left="0.511811024" right="0.511811024" top="0.78740157499999996" bottom="0.78740157499999996" header="0.31496062000000002" footer="0.31496062000000002"/>
  <pageSetup paperSize="9" orientation="portrait" horizontalDpi="1200" verticalDpi="120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Planilha3"/>
  <dimension ref="A1:BJ54"/>
  <sheetViews>
    <sheetView topLeftCell="F16" zoomScale="70" zoomScaleNormal="70" workbookViewId="0">
      <selection activeCell="Y20" sqref="Y20"/>
    </sheetView>
  </sheetViews>
  <sheetFormatPr defaultColWidth="8.85546875" defaultRowHeight="18.75"/>
  <cols>
    <col min="1" max="1" width="20" style="118" bestFit="1" customWidth="1"/>
    <col min="2" max="2" width="8.7109375" style="118" bestFit="1" customWidth="1"/>
    <col min="3" max="3" width="7.140625" style="118" bestFit="1" customWidth="1"/>
    <col min="4" max="4" width="8.7109375" style="118" bestFit="1" customWidth="1"/>
    <col min="5" max="5" width="8.42578125" style="118" bestFit="1" customWidth="1"/>
    <col min="6" max="6" width="5.42578125" style="118" customWidth="1"/>
    <col min="7" max="7" width="13" style="118" customWidth="1"/>
    <col min="8" max="8" width="11.28515625" style="118" customWidth="1"/>
    <col min="9" max="9" width="7" style="118" customWidth="1"/>
    <col min="10" max="10" width="8.7109375" style="118" customWidth="1"/>
    <col min="11" max="11" width="5.28515625" style="118" customWidth="1"/>
    <col min="12" max="12" width="7.28515625" style="118" bestFit="1" customWidth="1"/>
    <col min="13" max="13" width="7.42578125" style="118" bestFit="1" customWidth="1"/>
    <col min="14" max="14" width="7.28515625" style="118" bestFit="1" customWidth="1"/>
    <col min="15" max="15" width="8.85546875" style="118" bestFit="1" customWidth="1"/>
    <col min="16" max="16" width="8.85546875" style="118" customWidth="1"/>
    <col min="17" max="17" width="11.7109375" style="118" bestFit="1" customWidth="1"/>
    <col min="18" max="18" width="6.85546875" style="118" customWidth="1"/>
    <col min="19" max="19" width="11.42578125" style="118" bestFit="1" customWidth="1"/>
    <col min="20" max="20" width="9.42578125" style="118" bestFit="1" customWidth="1"/>
    <col min="21" max="21" width="7" style="118" bestFit="1" customWidth="1"/>
    <col min="22" max="22" width="10.28515625" style="118" customWidth="1"/>
    <col min="23" max="23" width="7" style="118" bestFit="1" customWidth="1"/>
    <col min="24" max="24" width="9" style="118" bestFit="1" customWidth="1"/>
    <col min="25" max="25" width="10.42578125" style="118" bestFit="1" customWidth="1"/>
    <col min="26" max="26" width="11.7109375" style="118" bestFit="1" customWidth="1"/>
    <col min="27" max="27" width="6.140625" style="118" customWidth="1"/>
    <col min="28" max="28" width="11.28515625" style="118" bestFit="1" customWidth="1"/>
    <col min="29" max="30" width="9" style="118" bestFit="1" customWidth="1"/>
    <col min="31" max="31" width="10.7109375" style="118" bestFit="1" customWidth="1"/>
    <col min="32" max="33" width="9" style="118" bestFit="1" customWidth="1"/>
    <col min="34" max="34" width="10.42578125" style="118" bestFit="1" customWidth="1"/>
    <col min="35" max="35" width="11.7109375" style="118" bestFit="1" customWidth="1"/>
    <col min="36" max="38" width="8.85546875" style="118" customWidth="1"/>
    <col min="39" max="39" width="9" style="118" bestFit="1" customWidth="1"/>
    <col min="40" max="40" width="10.7109375" style="118" bestFit="1" customWidth="1"/>
    <col min="41" max="42" width="8.85546875" style="118"/>
    <col min="43" max="43" width="10.42578125" style="118" bestFit="1" customWidth="1"/>
    <col min="44" max="44" width="11.5703125" style="118" bestFit="1" customWidth="1"/>
    <col min="45" max="45" width="8.85546875" style="118"/>
    <col min="46" max="46" width="11.28515625" style="118" bestFit="1" customWidth="1"/>
    <col min="47" max="48" width="8.85546875" style="118"/>
    <col min="49" max="49" width="10.28515625" style="118" bestFit="1" customWidth="1"/>
    <col min="50" max="52" width="8.85546875" style="118"/>
    <col min="53" max="53" width="11.42578125" style="118" bestFit="1" customWidth="1"/>
    <col min="54" max="54" width="8.85546875" style="118"/>
    <col min="55" max="55" width="11" style="118" bestFit="1" customWidth="1"/>
    <col min="56" max="57" width="8.85546875" style="118"/>
    <col min="58" max="58" width="10.28515625" style="118" bestFit="1" customWidth="1"/>
    <col min="59" max="61" width="8.85546875" style="118"/>
    <col min="62" max="62" width="13.7109375" style="118" bestFit="1" customWidth="1"/>
    <col min="63" max="16384" width="8.85546875" style="118"/>
  </cols>
  <sheetData>
    <row r="1" spans="1:62">
      <c r="A1" s="401" t="s">
        <v>366</v>
      </c>
      <c r="B1" s="401"/>
      <c r="C1" s="401"/>
      <c r="D1" s="401"/>
      <c r="E1" s="401"/>
      <c r="L1" s="401" t="s">
        <v>217</v>
      </c>
      <c r="M1" s="401"/>
      <c r="N1" s="401"/>
      <c r="O1" s="401"/>
      <c r="P1" s="401"/>
      <c r="Q1" s="401"/>
      <c r="U1" s="401" t="s">
        <v>219</v>
      </c>
      <c r="V1" s="401"/>
      <c r="W1" s="401"/>
      <c r="X1" s="401"/>
      <c r="Y1" s="401"/>
      <c r="Z1" s="401"/>
      <c r="AD1" s="401" t="s">
        <v>220</v>
      </c>
      <c r="AE1" s="401"/>
      <c r="AF1" s="401"/>
      <c r="AG1" s="401"/>
      <c r="AH1" s="401"/>
      <c r="AI1" s="401"/>
      <c r="AM1" s="401" t="s">
        <v>221</v>
      </c>
      <c r="AN1" s="401"/>
      <c r="AO1" s="401"/>
      <c r="AP1" s="401"/>
      <c r="AQ1" s="401"/>
      <c r="AR1" s="401"/>
      <c r="AV1" s="401" t="s">
        <v>306</v>
      </c>
      <c r="AW1" s="401"/>
      <c r="AX1" s="401"/>
      <c r="AY1" s="401"/>
      <c r="AZ1" s="401"/>
      <c r="BA1" s="401"/>
      <c r="BE1" s="401" t="s">
        <v>305</v>
      </c>
      <c r="BF1" s="401"/>
      <c r="BG1" s="401"/>
      <c r="BH1" s="401"/>
      <c r="BI1" s="401"/>
      <c r="BJ1" s="401"/>
    </row>
    <row r="2" spans="1:62">
      <c r="B2" s="2" t="s">
        <v>14</v>
      </c>
      <c r="C2" s="2" t="s">
        <v>50</v>
      </c>
      <c r="D2" s="111" t="s">
        <v>394</v>
      </c>
      <c r="E2" s="111" t="s">
        <v>361</v>
      </c>
      <c r="F2" s="314"/>
      <c r="G2" s="2" t="s">
        <v>65</v>
      </c>
      <c r="H2" s="2" t="s">
        <v>19</v>
      </c>
      <c r="I2" s="2" t="s">
        <v>208</v>
      </c>
      <c r="J2" s="2" t="s">
        <v>209</v>
      </c>
      <c r="K2" s="111"/>
      <c r="L2" s="2" t="s">
        <v>206</v>
      </c>
      <c r="M2" s="2" t="s">
        <v>207</v>
      </c>
      <c r="N2" s="2" t="s">
        <v>202</v>
      </c>
      <c r="O2" s="2" t="s">
        <v>204</v>
      </c>
      <c r="P2" s="2" t="s">
        <v>205</v>
      </c>
      <c r="Q2" s="267" t="s">
        <v>216</v>
      </c>
      <c r="S2" s="120" t="s">
        <v>225</v>
      </c>
      <c r="T2" s="120" t="s">
        <v>224</v>
      </c>
      <c r="U2" s="2" t="s">
        <v>206</v>
      </c>
      <c r="V2" s="2" t="s">
        <v>207</v>
      </c>
      <c r="W2" s="2" t="s">
        <v>202</v>
      </c>
      <c r="X2" s="2" t="s">
        <v>204</v>
      </c>
      <c r="Y2" s="2" t="s">
        <v>205</v>
      </c>
      <c r="Z2" s="117" t="s">
        <v>216</v>
      </c>
      <c r="AB2" s="120" t="s">
        <v>225</v>
      </c>
      <c r="AC2" s="120" t="s">
        <v>224</v>
      </c>
      <c r="AD2" s="2" t="s">
        <v>206</v>
      </c>
      <c r="AE2" s="2" t="s">
        <v>207</v>
      </c>
      <c r="AF2" s="2" t="s">
        <v>202</v>
      </c>
      <c r="AG2" s="2" t="s">
        <v>204</v>
      </c>
      <c r="AH2" s="2" t="s">
        <v>205</v>
      </c>
      <c r="AI2" s="117" t="s">
        <v>216</v>
      </c>
      <c r="AK2" s="120" t="s">
        <v>225</v>
      </c>
      <c r="AL2" s="120" t="s">
        <v>224</v>
      </c>
      <c r="AM2" s="2" t="s">
        <v>206</v>
      </c>
      <c r="AN2" s="2" t="s">
        <v>207</v>
      </c>
      <c r="AO2" s="2" t="s">
        <v>202</v>
      </c>
      <c r="AP2" s="2" t="s">
        <v>204</v>
      </c>
      <c r="AQ2" s="2" t="s">
        <v>205</v>
      </c>
      <c r="AR2" s="117" t="s">
        <v>216</v>
      </c>
      <c r="AT2" s="120" t="s">
        <v>225</v>
      </c>
      <c r="AU2" s="120" t="s">
        <v>224</v>
      </c>
      <c r="AV2" s="2" t="s">
        <v>206</v>
      </c>
      <c r="AW2" s="2" t="s">
        <v>207</v>
      </c>
      <c r="AX2" s="2" t="s">
        <v>202</v>
      </c>
      <c r="AY2" s="2" t="s">
        <v>204</v>
      </c>
      <c r="AZ2" s="2" t="s">
        <v>205</v>
      </c>
      <c r="BA2" s="117" t="s">
        <v>216</v>
      </c>
      <c r="BC2" s="120" t="s">
        <v>225</v>
      </c>
      <c r="BD2" s="120" t="s">
        <v>224</v>
      </c>
      <c r="BE2" s="2" t="s">
        <v>206</v>
      </c>
      <c r="BF2" s="2" t="s">
        <v>207</v>
      </c>
      <c r="BG2" s="2" t="s">
        <v>202</v>
      </c>
      <c r="BH2" s="2" t="s">
        <v>204</v>
      </c>
      <c r="BI2" s="2" t="s">
        <v>205</v>
      </c>
      <c r="BJ2" s="117" t="s">
        <v>216</v>
      </c>
    </row>
    <row r="3" spans="1:62">
      <c r="A3" s="118" t="str">
        <f xml:space="preserve"> IF(CAPA!F8= ""," ",CAPA!F8)</f>
        <v xml:space="preserve"> </v>
      </c>
      <c r="B3" s="2"/>
      <c r="C3" s="48"/>
      <c r="D3" s="48"/>
      <c r="E3" s="48"/>
      <c r="F3" s="48"/>
      <c r="G3" s="2"/>
      <c r="H3" s="2"/>
      <c r="I3" s="48"/>
      <c r="J3" s="48"/>
      <c r="K3" s="48"/>
      <c r="L3" s="48"/>
      <c r="M3" s="48"/>
      <c r="N3" s="48"/>
      <c r="O3" s="48"/>
      <c r="P3" s="48"/>
      <c r="Q3" s="48"/>
      <c r="S3" s="121">
        <f>((SQRT(2)-1)*CAPA!M96+CAPA!M87)^2</f>
        <v>3399.899582029454</v>
      </c>
      <c r="T3" s="121">
        <f>SQRT(4*S3/PI())</f>
        <v>65.794274796280348</v>
      </c>
      <c r="U3" s="48"/>
      <c r="V3" s="48"/>
      <c r="W3" s="48"/>
      <c r="X3" s="48"/>
      <c r="Y3" s="48"/>
      <c r="Z3" s="48"/>
      <c r="AB3" s="118">
        <f>((SQRT(3)-1)*CAPA!M96+CAPA!M87)^2</f>
        <v>6905.6038490012661</v>
      </c>
      <c r="AC3" s="121">
        <f>SQRT(4*AB3/PI())</f>
        <v>93.768267024744361</v>
      </c>
      <c r="AD3" s="48"/>
      <c r="AE3" s="48"/>
      <c r="AF3" s="48"/>
      <c r="AG3" s="48"/>
      <c r="AH3" s="48"/>
      <c r="AI3" s="48"/>
      <c r="AK3" s="118">
        <f>((SQRT(4)-1)*CAPA!S96+CAPA!S87)^2</f>
        <v>10816</v>
      </c>
      <c r="AL3" s="121">
        <f>SQRT(4*AK3/PI())</f>
        <v>117.35143337793332</v>
      </c>
      <c r="AM3" s="48"/>
      <c r="AN3" s="48"/>
      <c r="AO3" s="48"/>
      <c r="AP3" s="48"/>
      <c r="AQ3" s="48"/>
      <c r="AR3" s="48"/>
      <c r="AT3" s="121">
        <f>((SQRT(5)-1)*CAPA!V96+CAPA!V87)^2</f>
        <v>14985.01656652171</v>
      </c>
      <c r="AU3" s="121">
        <f>SQRT(4*AT3/PI())</f>
        <v>138.12862002860587</v>
      </c>
      <c r="AV3" s="48"/>
      <c r="AW3" s="48"/>
      <c r="AX3" s="48"/>
      <c r="AY3" s="48"/>
      <c r="AZ3" s="48"/>
      <c r="BA3" s="48"/>
      <c r="BC3" s="121">
        <f>IF(CAPA!$I$64=1,CALCULO!C12*10000,
        IF(CAPA!$I$64=2,S3,
             IF(CAPA!$I$64=3,AB3,
                  IF(CAPA!$I$64=4,AK3,
                       IF(CAPA!$I$64=5,AT3,)))))</f>
        <v>3399.899582029454</v>
      </c>
      <c r="BD3" s="121">
        <f>IF(CAPA!$I$64=1,CAPA!F64,
        IF(CAPA!$I$64=2,T3,
             IF(CAPA!$I$64=3,AC3,
                  IF(CAPA!$I$64=4,AL3,
                       IF(CAPA!$I$64=5,AU3,)))))</f>
        <v>65.794274796280348</v>
      </c>
      <c r="BE3" s="48"/>
      <c r="BF3" s="48"/>
      <c r="BG3" s="48"/>
      <c r="BH3" s="48"/>
      <c r="BI3" s="48"/>
      <c r="BJ3" s="48"/>
    </row>
    <row r="4" spans="1:62">
      <c r="A4" s="118" t="str">
        <f xml:space="preserve"> IF(CAPA!F9= ""," ",CAPA!F9)</f>
        <v>D-areia argilosa</v>
      </c>
      <c r="B4" s="2">
        <v>1</v>
      </c>
      <c r="C4" s="48">
        <f>CAPA!D9</f>
        <v>5</v>
      </c>
      <c r="D4" s="48">
        <f>CAPA!E9</f>
        <v>16</v>
      </c>
      <c r="E4" s="119">
        <f>C4*IFERROR(INDEX(Compatibilidade!$G$6:$G$20,MATCH(A4,Compatibilidade!$C$6:$C$20,0)) * INDEX(Compatibilidade!$H$6:$H$20,MATCH(A4,Compatibilidade!$C$6:$C$20,0)),"0")</f>
        <v>8.25</v>
      </c>
      <c r="F4" s="119"/>
      <c r="G4" s="3" t="e">
        <f>IF(B4&gt;CALCULO!$C$28,CALCULO!$C$15,NA())</f>
        <v>#N/A</v>
      </c>
      <c r="H4" s="3">
        <f>IF(CAPA!$O$60 = "Aoki-Velloso (1975)",CALCULO!S7,
        IF(CAPA!$O$60 = "Décourt-Quaresma (1978)",CALCULO!AG7*CALCULO!AF7,
              IF(CAPA!$O$60 = "Teixeira (1996)",CALCULO!AT7,
                    IF(CAPA!$O$60 = "Média",CALCULO!AT7,0))))</f>
        <v>33.834586466165412</v>
      </c>
      <c r="I4" s="48">
        <f>IFERROR(C4*CALCULO!P7*IF(OR(CALCULO!C$5="C-Pré-moldada",CALCULO!C$5="B-Metálica"),6,IF(CALCULO!C$5="F-Hélice Contínua",4,3)),NA())</f>
        <v>18</v>
      </c>
      <c r="J4" s="48">
        <f>J3+IF(-$B4&gt;=CALCULO!C$18,D4,D4-CALCULO!C$19)</f>
        <v>16</v>
      </c>
      <c r="K4" s="48"/>
      <c r="L4" s="48">
        <f>-CAPA!I$89-B4</f>
        <v>16</v>
      </c>
      <c r="M4" s="48" t="e">
        <f>IFERROR(H4*G4,NA())</f>
        <v>#N/A</v>
      </c>
      <c r="N4" s="48">
        <f>CAPA!$I$80-IFERROR(M4, 0)</f>
        <v>500</v>
      </c>
      <c r="O4" s="48" t="e">
        <f>IF(OR(L4&gt;=0,N4&lt;0),NA(),4*N4/(PI()*(CALCULO!$C$8*0.01+(-L4-0.5))^2))</f>
        <v>#N/A</v>
      </c>
      <c r="P4" s="48" cm="1">
        <f t="array" ref="P4">IF(L3&lt;=0,
       tensao(-L3),
  NA())</f>
        <v>0</v>
      </c>
      <c r="Q4" s="48">
        <f>IFERROR(
      (IF(ISNUMBER(O4),O4,0)+P4) / (I4*((J4+P4+IF(ISNUMBER(O4),O4,0))/J4)^CAPA!F$80),
NA())</f>
        <v>0</v>
      </c>
      <c r="S4" s="121">
        <f>CAPA!M87*(CAPA!M96+CAPA!M87)</f>
        <v>2704</v>
      </c>
      <c r="T4" s="121">
        <f>SQRT(4*S4/PI())</f>
        <v>58.675716688966659</v>
      </c>
      <c r="U4" s="48">
        <f>-CAPA!M$89-$B4</f>
        <v>11</v>
      </c>
      <c r="V4" s="48" t="e">
        <f>IF(B4&gt;CALCULO!$C$28, $H4*(PI()*$T$4/100),NA())</f>
        <v>#N/A</v>
      </c>
      <c r="W4" s="48">
        <f>CAPA!$I$80-IFERROR(V4, 0)</f>
        <v>500</v>
      </c>
      <c r="X4" s="48" t="e">
        <f t="shared" ref="X4:X18" si="0">IF(OR(U4&gt;=0,W4&lt;0),NA(),4*W4/(PI()*(T$4*0.01+(-U4-0.5))^2))</f>
        <v>#N/A</v>
      </c>
      <c r="Y4" s="48" cm="1">
        <f t="array" ref="Y4">IF(U3&lt;=0,
       tensaogrupo(-U3,T$4),
  NA())</f>
        <v>0</v>
      </c>
      <c r="Z4" s="48">
        <f>IFERROR(
      (IF(ISNUMBER(X4),X4,0)+Y4) / ($I4*(($J4+Y4+IF(ISNUMBER(X4),X4,0))/$J4)^CAPA!F$80),
NA())</f>
        <v>0</v>
      </c>
      <c r="AB4" s="118">
        <f>(SQRT(3)/4)*(CAPA!M96+CAPA!M87)^2</f>
        <v>4683.4653836662437</v>
      </c>
      <c r="AC4" s="121">
        <f>SQRT(4*AB4/PI())</f>
        <v>77.221585925711878</v>
      </c>
      <c r="AD4" s="48">
        <f>-CAPA!P$89-$B4</f>
        <v>7</v>
      </c>
      <c r="AE4" s="48" t="e">
        <f>IF(B4&gt;CALCULO!$C$28,$H4*(PI()*$AC$4/100),NA())</f>
        <v>#N/A</v>
      </c>
      <c r="AF4" s="48">
        <f>CAPA!$I$80-IFERROR(AE4, 0)</f>
        <v>500</v>
      </c>
      <c r="AG4" s="48" t="e">
        <f>IF(OR(AD4&gt;=0,AF4&lt;0),NA(),4*AF4/(PI()*(AC$4*0.01+(-AD4-0.5))^2))</f>
        <v>#N/A</v>
      </c>
      <c r="AH4" s="48" cm="1">
        <f t="array" ref="AH4">IF(AD3&lt;=0,
       tensaogrupo(-AD3,AC$4),
  NA())</f>
        <v>0</v>
      </c>
      <c r="AI4" s="48">
        <f>IFERROR(
      (IF(ISNUMBER(AG4),AG4,0)+AH4) / ($I4*((J4+AH4+IF(ISNUMBER(AG4),AG4,0))/J4)^CAPA!F$80),
NA())</f>
        <v>0</v>
      </c>
      <c r="AK4" s="118">
        <f>(CAPA!S96+CAPA!S87)^2</f>
        <v>10816</v>
      </c>
      <c r="AL4" s="121">
        <f>SQRT(4*AK4/PI())</f>
        <v>117.35143337793332</v>
      </c>
      <c r="AM4" s="48">
        <f>-CAPA!S$89-$B4</f>
        <v>7</v>
      </c>
      <c r="AN4" s="48" t="e">
        <f>IF($B4&gt;CALCULO!$C$28,$H4*(PI()*$AL$4/100),NA())</f>
        <v>#N/A</v>
      </c>
      <c r="AO4" s="48">
        <f>CAPA!$I$80-IFERROR(AN4, 0)</f>
        <v>500</v>
      </c>
      <c r="AP4" s="48" t="e">
        <f>IF(OR(AM4&gt;=0,AO4&lt;0),NA(),4*AO4/(PI()*(CALCULO!$C$8*0.01+(-AM4-0.5))^2))</f>
        <v>#N/A</v>
      </c>
      <c r="AQ4" s="48" t="e">
        <f xml:space="preserve">  NA()</f>
        <v>#N/A</v>
      </c>
      <c r="AR4" s="48" t="e">
        <f>IFERROR(
      (IF(ISNUMBER(AP4),AP4,0)+AQ4) / ($I4*((J4+AQ4+IF(ISNUMBER(AP4),AP4,0))/J4)^CAPA!F$80),
NA())</f>
        <v>#N/A</v>
      </c>
      <c r="AT4" s="121">
        <f>(CAPA!V96*SQRT(2)+CAPA!V87)^2</f>
        <v>18580.050208985274</v>
      </c>
      <c r="AU4" s="121">
        <f>SQRT(4*AT4/PI())</f>
        <v>153.80784982973034</v>
      </c>
      <c r="AV4" s="48">
        <f>-CAPA!V$89-$B4</f>
        <v>6</v>
      </c>
      <c r="AW4" s="48" t="e">
        <f>IF($B4&gt;CALCULO!$C$28,$H4*(PI()*$AU$4/100),NA())</f>
        <v>#N/A</v>
      </c>
      <c r="AX4" s="48">
        <f>CAPA!$I$80-IFERROR(AW4, 0)</f>
        <v>500</v>
      </c>
      <c r="AY4" s="48" t="e">
        <f>IF(OR(AV4&gt;=0,AX4&lt;0),NA(),4*AX4/(PI()*(AU3*0.01+(-AV4-0.5))^2))</f>
        <v>#N/A</v>
      </c>
      <c r="AZ4" s="48" t="e">
        <f xml:space="preserve">  NA()</f>
        <v>#N/A</v>
      </c>
      <c r="BA4" s="3" t="e">
        <f>IFERROR(
      (IF(ISNUMBER(AY4),AY4,0)+AZ4) / ($I4*(($J4+AZ4+IF(ISNUMBER(AY4),AY4,0))/$J4)^CAPA!$F$80),
NA())</f>
        <v>#N/A</v>
      </c>
      <c r="BC4" s="121">
        <f>IF(CAPA!$I$64=1,CALCULO!C12*10000,
        IF(CAPA!$I$64=2,S4,
             IF(CAPA!$I$64=3,AB4,
                  IF(CAPA!$I$64=4,AK4,
                       IF(CAPA!$I$64=5,AT4,)))))</f>
        <v>2704</v>
      </c>
      <c r="BD4" s="121">
        <f>IF(CAPA!$I$64=1,CAPA!F64,
        IF(CAPA!$I$64=2,T4,
             IF(CAPA!$I$64=3,AC4,
                  IF(CAPA!$I$64=4,AL4,
                       IF(CAPA!$I$64=5,AU4,)))))</f>
        <v>58.675716688966659</v>
      </c>
      <c r="BE4" s="48">
        <f>-CAPA!I$15-$B4</f>
        <v>12</v>
      </c>
      <c r="BF4" s="48" t="e">
        <v>#N/A</v>
      </c>
      <c r="BG4" s="48">
        <f>CAPA!I80</f>
        <v>500</v>
      </c>
      <c r="BH4" s="48" t="e">
        <f>IF(OR(BE4&gt;=0,BG4&lt;0),NA(),4*BG4/(PI()*(CALCULO!$C$8*0.01+(-BE4-0.5))^2))</f>
        <v>#N/A</v>
      </c>
      <c r="BI4" s="48" t="e">
        <f xml:space="preserve">  NA()</f>
        <v>#N/A</v>
      </c>
      <c r="BJ4" s="3" t="e">
        <f>IFERROR(
      (IF(ISNUMBER(BH4),BH4,0)+BI4) / ($I4*(($J4+BI4+IF(ISNUMBER(BH4),BH4,0))/$J4)^CAPA!$F$80),
NA())</f>
        <v>#N/A</v>
      </c>
    </row>
    <row r="5" spans="1:62">
      <c r="A5" s="118" t="str">
        <f xml:space="preserve"> IF(CAPA!F10= ""," ",CAPA!F10)</f>
        <v>D-areia argilosa</v>
      </c>
      <c r="B5" s="2">
        <v>2</v>
      </c>
      <c r="C5" s="48">
        <f>CAPA!D10</f>
        <v>5</v>
      </c>
      <c r="D5" s="48">
        <f>CAPA!E10</f>
        <v>16</v>
      </c>
      <c r="E5" s="119">
        <f>C5*IFERROR(INDEX(Compatibilidade!$G$6:$G$20,MATCH(A5,Compatibilidade!$C$6:$C$20,0)) * INDEX(Compatibilidade!$H$6:$H$20,MATCH(A5,Compatibilidade!$C$6:$C$20,0)),"0")</f>
        <v>8.25</v>
      </c>
      <c r="F5" s="119"/>
      <c r="G5" s="3">
        <f>IF(B5&gt;CALCULO!$C$28,CALCULO!$C$15,NA())</f>
        <v>0.81681408993334625</v>
      </c>
      <c r="H5" s="3">
        <f>IF(CAPA!$O$60 = "Aoki-Velloso (1975)",CALCULO!S8,
        IF(CAPA!$O$60 = "Décourt-Quaresma (1978)",CALCULO!AG8*CALCULO!AF8,
              IF(CAPA!$O$60 = "Teixeira (1996)",CALCULO!AT8,
                    IF(CAPA!$O$60 = "Média",CALCULO!AT8,0))))</f>
        <v>33.834586466165412</v>
      </c>
      <c r="I5" s="48">
        <f>IFERROR(C5*CALCULO!P8*IF(OR(CALCULO!C$5="C-Pré-moldada",CALCULO!C$5="B-Metálica"),6,IF(CALCULO!C$5="F-Hélice Contínua",4,3)),NA())</f>
        <v>18</v>
      </c>
      <c r="J5" s="48">
        <f>J4+IF(-B5&gt;=CALCULO!C$18,D5,D5-CALCULO!C$19)</f>
        <v>32</v>
      </c>
      <c r="K5" s="48"/>
      <c r="L5" s="48">
        <f>-CAPA!I$89-B5</f>
        <v>15</v>
      </c>
      <c r="M5" s="48">
        <f>IFERROR(IF(N4&lt;H5*G5,N4,H5*G5),NA())</f>
        <v>27.636566952632016</v>
      </c>
      <c r="N5" s="160">
        <f t="shared" ref="N5:N52" si="1">IF(ISNUMBER(M5),
        IF(L4&lt;=0,N4,
             IF(N4-M5&lt;0,0,N4-M5)), N4)</f>
        <v>472.36343304736801</v>
      </c>
      <c r="O5" s="48" t="e">
        <f>IF(OR(L5&gt;=0,N5&lt;0),NA(),4*N5/(PI()*(CALCULO!$C$8*0.01+(-L5-0.5))^2))</f>
        <v>#N/A</v>
      </c>
      <c r="P5" s="48" t="e" cm="1">
        <f t="array" ref="P5">IF(L4&lt;=0,
       tensao(-L4),
  NA())</f>
        <v>#N/A</v>
      </c>
      <c r="Q5" s="48" t="e">
        <f>IFERROR(
      (IF(ISNUMBER(O5),O5,0)+P5) / (I5*((J5+P5+IF(ISNUMBER(O5),O5,0))/J5)^CAPA!F$80),
NA())</f>
        <v>#N/A</v>
      </c>
      <c r="U5" s="48">
        <f>-CAPA!M$89-B5</f>
        <v>10</v>
      </c>
      <c r="V5" s="48">
        <f>IF($B5&gt;CALCULO!$C$28,
        IF($H5*(PI()*$T$4/100)&lt;W4, $H5*(PI()*$T$4/100),W4), NA())</f>
        <v>62.369052798780558</v>
      </c>
      <c r="W5" s="160">
        <f t="shared" ref="W5:W52" si="2">IF(ISNUMBER(V5),
        IF(U4&lt;=0,W4,
             IF(W4-V5&lt;0,0,W4-V5)), W4)</f>
        <v>437.63094720121944</v>
      </c>
      <c r="X5" s="48" t="e">
        <f t="shared" si="0"/>
        <v>#N/A</v>
      </c>
      <c r="Y5" s="48" t="e" cm="1">
        <f t="array" ref="Y5">IF(U4&lt;=0,
       tensaogrupo(-U4,T$4),
  NA())</f>
        <v>#N/A</v>
      </c>
      <c r="Z5" s="48" t="e">
        <f>IFERROR(
      (IF(ISNUMBER(X5),X5,0)+Y5) / ($I5*(($J5+Y5+IF(ISNUMBER(X5),X5,0))/$J5)^CAPA!F$80),
NA())</f>
        <v>#N/A</v>
      </c>
      <c r="AD5" s="48">
        <f>-CAPA!P$89-$B5</f>
        <v>6</v>
      </c>
      <c r="AE5" s="48">
        <f>IF($B5&gt;CALCULO!$C$28,
        IF($H5*(PI()*AC$4/100)&lt;AF4, $H5*(PI()*AC$4/100),AF4), NA())</f>
        <v>82.082289600937003</v>
      </c>
      <c r="AF5" s="48">
        <f>IF(ISNUMBER(AE5),
        IF(AD4&lt;=0,AF4,
             IF(AF4-AE5&lt;0,0,AF4-AE5)), AF4)</f>
        <v>417.91771039906303</v>
      </c>
      <c r="AG5" s="48" t="e">
        <f>IF(OR(AD5&gt;=0,AF5&lt;0),NA(),4*AF5/(PI()*(AC$4*0.01+(-AD5-0.5))^2))</f>
        <v>#N/A</v>
      </c>
      <c r="AH5" s="48" t="e" cm="1">
        <f t="array" ref="AH5">IF(AD4&lt;=0,
       tensaogrupo(-AD4,AC$4),
  NA())</f>
        <v>#N/A</v>
      </c>
      <c r="AI5" s="48" t="e">
        <f>IFERROR(
      (IF(ISNUMBER(AG5),AG5,0)+AH5) / ($I5*((J5+AH5+IF(ISNUMBER(AG5),AG5,0))/J5)^CAPA!F$80),
NA())</f>
        <v>#N/A</v>
      </c>
      <c r="AM5" s="48">
        <f>-CAPA!S$89-$B5</f>
        <v>6</v>
      </c>
      <c r="AN5" s="48">
        <f>IF($B5&gt;CALCULO!$C$28,
        IF($H5*(PI()*AL$4/100)&lt;AO4, $H5*(PI()*AL$4/100),AO4), NA())</f>
        <v>124.73810559756112</v>
      </c>
      <c r="AO5" s="48">
        <f>IF(ISNUMBER(AN5),
        IF(AM4&lt;=0,AO4,
             IF(AO4-AN5&lt;0,0,AO4-AN5)), AO4)</f>
        <v>375.26189440243888</v>
      </c>
      <c r="AP5" s="48" t="e">
        <f t="shared" ref="AP5:AP12" si="3">IF(OR(AM5&gt;=0,AO5&lt;0),NA(),4*AO5/(PI()*(AL$4*0.01+(-AM5-0.5))^2))</f>
        <v>#N/A</v>
      </c>
      <c r="AQ5" s="48" t="e">
        <f t="array" ref="AQ5">IF(AM4&lt;=0,
       tensaogrupo(-AM4,AL$4),
  NA())</f>
        <v>#N/A</v>
      </c>
      <c r="AR5" s="48" t="e">
        <f>IFERROR(
      (IF(ISNUMBER(AP5),AP5,0)+AQ5) / ($I5*((J5+AQ5+IF(ISNUMBER(AP5),AP5,0))/J5)^CAPA!F$80),
NA())</f>
        <v>#N/A</v>
      </c>
      <c r="AV5" s="48">
        <f>-CAPA!V$89-$B5</f>
        <v>5</v>
      </c>
      <c r="AW5" s="48">
        <f>IF($B5&gt;CALCULO!$C$28,
        IF($H5*(PI()*AU$4/100)&lt;AX4, $H5*(PI()*AU$4/100),AX4), NA())</f>
        <v>163.48926690998894</v>
      </c>
      <c r="AX5" s="48">
        <f>IF(ISNUMBER(AW5),
        IF(AV4&lt;=0,AX4,
             IF(AX4-AW5&lt;0,0,AX4-AW5)), AX4)</f>
        <v>336.51073309001106</v>
      </c>
      <c r="AY5" s="48" t="e">
        <f>IF(OR(AV5&gt;=0,AX5&lt;0),NA(),4*AX5/(PI()*(AU4*0.01+(-AV5-0.5))^2))</f>
        <v>#N/A</v>
      </c>
      <c r="AZ5" s="48" t="e">
        <f t="array" ref="AZ5">IF(AV4&lt;=0,
       tensaogrupo(-AV4,AU$4),
  NA())</f>
        <v>#N/A</v>
      </c>
      <c r="BA5" s="3" t="e">
        <f>IFERROR(
      (IF(ISNUMBER(AY5),AY5,0)+AZ5) / ($I5*(($J5+AZ5+IF(ISNUMBER(AY5),AY5,0))/$J5)^CAPA!$F$80),
NA())</f>
        <v>#N/A</v>
      </c>
      <c r="BE5" s="48">
        <f>-CAPA!I$15-$B5</f>
        <v>11</v>
      </c>
      <c r="BF5" s="48">
        <f>IF($B5&gt;CALCULO!$C$28,
        IF($H5*(PI()*BD$4/100)&lt;BG4, $H5*(PI()*BD$4/100),BG4), NA())</f>
        <v>62.369052798780558</v>
      </c>
      <c r="BG5" s="48">
        <f>IF(ISNUMBER(BF5),
        IF(BE4&lt;=0,BG4,
             IF(BG4-BF5&lt;0,0,BG4-BF5)), BG4)</f>
        <v>437.63094720121944</v>
      </c>
      <c r="BH5" s="48" t="e">
        <f>IF(OR(BE5&gt;=0,BG5&lt;0),NA(),4*BG5/(PI()*(BD$4*0.01+(-BE5-0.5))^2))</f>
        <v>#N/A</v>
      </c>
      <c r="BI5" s="48" t="e">
        <f t="array" ref="BI5">IF(BE4&lt;=0,
       tensaogrupo(-BE4,BD$4),
  NA())</f>
        <v>#N/A</v>
      </c>
      <c r="BJ5" s="3" t="e">
        <f>IFERROR(
      (IF(ISNUMBER(BH5),BH5,0)+BI5) / ($I5*(($J5+BI5+IF(ISNUMBER(BH5),BH5,0))/$J5)^CAPA!$F$80),
NA())</f>
        <v>#N/A</v>
      </c>
    </row>
    <row r="6" spans="1:62">
      <c r="A6" s="118" t="str">
        <f xml:space="preserve"> IF(CAPA!F11= ""," ",CAPA!F11)</f>
        <v>D-areia argilosa</v>
      </c>
      <c r="B6" s="2">
        <v>3</v>
      </c>
      <c r="C6" s="48">
        <f>CAPA!D11</f>
        <v>2</v>
      </c>
      <c r="D6" s="48">
        <f>CAPA!E11</f>
        <v>16</v>
      </c>
      <c r="E6" s="119">
        <f>C6*IFERROR(INDEX(Compatibilidade!$G$6:$G$20,MATCH(A6,Compatibilidade!$C$6:$C$20,0)) * INDEX(Compatibilidade!$H$6:$H$20,MATCH(A6,Compatibilidade!$C$6:$C$20,0)),"0")</f>
        <v>3.3000000000000003</v>
      </c>
      <c r="F6" s="119"/>
      <c r="G6" s="3">
        <f>IF(B6&gt;CALCULO!$C$28,CALCULO!$C$15,NA())</f>
        <v>0.81681408993334625</v>
      </c>
      <c r="H6" s="3">
        <f>IF(CAPA!$O$60 = "Aoki-Velloso (1975)",CALCULO!S9,
        IF(CAPA!$O$60 = "Décourt-Quaresma (1978)",CALCULO!AG9*CALCULO!AF9,
              IF(CAPA!$O$60 = "Teixeira (1996)",CALCULO!AT9,
                    IF(CAPA!$O$60 = "Média",CALCULO!AT9,0))))</f>
        <v>13.533834586466165</v>
      </c>
      <c r="I6" s="48">
        <f>IFERROR(C6*CALCULO!P9*IF(OR(CALCULO!C$5="C-Pré-moldada",CALCULO!C$5="B-Metálica"),6,IF(CALCULO!C$5="F-Hélice Contínua",4,3)),NA())</f>
        <v>7.1999999999999993</v>
      </c>
      <c r="J6" s="48">
        <f>J5+IF(-B6&gt;=CALCULO!C$18,D6,D6-CALCULO!C$19)</f>
        <v>48</v>
      </c>
      <c r="K6" s="48"/>
      <c r="L6" s="48">
        <f>-CAPA!I$89-B6</f>
        <v>14</v>
      </c>
      <c r="M6" s="48">
        <f>IFERROR(IF(N5&lt;H6*G6,N5,H6*G6),NA())</f>
        <v>11.054626781052805</v>
      </c>
      <c r="N6" s="160">
        <f t="shared" si="1"/>
        <v>461.30880626631517</v>
      </c>
      <c r="O6" s="48" t="e">
        <f>IF(OR(L6&gt;=0,N6&lt;0),NA(),4*N6/(PI()*(CALCULO!$C$8*0.01+(-L6-0.5))^2))</f>
        <v>#N/A</v>
      </c>
      <c r="P6" s="48" t="e" cm="1">
        <f t="array" ref="P6">IF(L5&lt;=0,
       tensao(-L5),
  NA())</f>
        <v>#N/A</v>
      </c>
      <c r="Q6" s="48" t="e">
        <f>IFERROR(
      (IF(ISNUMBER(O6),O6,0)+P6) / (I6*((J6+P6+IF(ISNUMBER(O6),O6,0))/J6)^CAPA!F$80),
NA())</f>
        <v>#N/A</v>
      </c>
      <c r="U6" s="48">
        <f>-CAPA!M$89-B6</f>
        <v>9</v>
      </c>
      <c r="V6" s="48">
        <f>IF(B6&gt;CALCULO!$C$28,
        IF($H6*(PI()*$T$4/100)&lt;W5, $H6*(PI()*$T$4/100),W5), NA())</f>
        <v>24.947621119512224</v>
      </c>
      <c r="W6" s="160">
        <f t="shared" si="2"/>
        <v>412.68332608170721</v>
      </c>
      <c r="X6" s="48" t="e">
        <f t="shared" si="0"/>
        <v>#N/A</v>
      </c>
      <c r="Y6" s="48" t="e" cm="1">
        <f t="array" ref="Y6">IF(U5&lt;=0,
       tensaogrupo(-U5,T$4),
  NA())</f>
        <v>#N/A</v>
      </c>
      <c r="Z6" s="48" t="e">
        <f>IFERROR(
      (IF(ISNUMBER(X6),X6,0)+Y6) / ($I6*(($J6+Y6+IF(ISNUMBER(X6),X6,0))/$J6)^CAPA!F$80),
NA())</f>
        <v>#N/A</v>
      </c>
      <c r="AD6" s="48">
        <f>-CAPA!P$89-$B6</f>
        <v>5</v>
      </c>
      <c r="AE6" s="48">
        <f>IF($B6&gt;CALCULO!$C$28,
        IF($H6*(PI()*AC$4/100)&lt;AF5, $H6*(PI()*AC$4/100),AF5), NA())</f>
        <v>32.832915840374802</v>
      </c>
      <c r="AF6" s="48">
        <f t="shared" ref="AF6:AF52" si="4">IF(ISNUMBER(AE6),
        IF(AD5&lt;=0,AF5,
             IF(AF5-AE6&lt;0,0,AF5-AE6)), AF5)</f>
        <v>385.0847945586882</v>
      </c>
      <c r="AG6" s="48" t="e">
        <f t="shared" ref="AG6:AG52" si="5">IF(OR(AD6&gt;=0,AF6&lt;0),NA(),4*AF6/(PI()*(AC$4*0.01+(-AD6-0.5))^2))</f>
        <v>#N/A</v>
      </c>
      <c r="AH6" s="48" t="e" cm="1">
        <f t="array" ref="AH6">IF(AD5&lt;=0,
       tensaogrupo(-AD5,AC$4),
  NA())</f>
        <v>#N/A</v>
      </c>
      <c r="AI6" s="48" t="e">
        <f>IFERROR(
      (IF(ISNUMBER(AG6),AG6,0)+AH6) / ($I6*((J6+AH6+IF(ISNUMBER(AG6),AG6,0))/J6)^CAPA!F$80),
NA())</f>
        <v>#N/A</v>
      </c>
      <c r="AM6" s="48">
        <f>-CAPA!S$89-$B6</f>
        <v>5</v>
      </c>
      <c r="AN6" s="48">
        <f>IF($B6&gt;CALCULO!$C$28,
        IF($H6*(PI()*AL$4/100)&lt;AO5, $H6*(PI()*AL$4/100),AO5), NA())</f>
        <v>49.895242239024448</v>
      </c>
      <c r="AO6" s="48">
        <f t="shared" ref="AO6:AO52" si="6">IF(ISNUMBER(AN6),
        IF(AM5&lt;=0,AO5,
             IF(AO5-AN6&lt;0,0,AO5-AN6)), AO5)</f>
        <v>325.36665216341441</v>
      </c>
      <c r="AP6" s="48" t="e">
        <f t="shared" si="3"/>
        <v>#N/A</v>
      </c>
      <c r="AQ6" s="48" t="e">
        <f t="array" ref="AQ6">IF(AM5&lt;=0,
       tensaogrupo(-AM5,AL$4),
  NA())</f>
        <v>#N/A</v>
      </c>
      <c r="AR6" s="48" t="e">
        <f>IFERROR(
      (IF(ISNUMBER(AP6),AP6,0)+AQ6) / ($I6*((J6+AQ6+IF(ISNUMBER(AP6),AP6,0))/J6)^CAPA!F$80),
NA())</f>
        <v>#N/A</v>
      </c>
      <c r="AV6" s="48">
        <f>-CAPA!V$89-$B6</f>
        <v>4</v>
      </c>
      <c r="AW6" s="48">
        <f>IF($B6&gt;CALCULO!$C$28,
        IF($H6*(PI()*AU$4/100)&lt;AX5, $H6*(PI()*AU$4/100),AX5), NA())</f>
        <v>65.395706763995577</v>
      </c>
      <c r="AX6" s="48">
        <f t="shared" ref="AX6:AX52" si="7">IF(ISNUMBER(AW6),
        IF(AV5&lt;=0,AX5,
             IF(AX5-AW6&lt;0,0,AX5-AW6)), AX5)</f>
        <v>271.11502632601548</v>
      </c>
      <c r="AY6" s="48" t="e">
        <f>IF(OR(AV6&gt;=0,AX6&lt;0),NA(),4*AX6/(PI()*(AU$4*0.01+(-AV6-0.5))^2))</f>
        <v>#N/A</v>
      </c>
      <c r="AZ6" s="48" t="e">
        <f t="array" ref="AZ6">IF(AV5&lt;=0,
       tensaogrupo(-AV5,AU$4),
  NA())</f>
        <v>#N/A</v>
      </c>
      <c r="BA6" s="3" t="e">
        <f>IFERROR(
      (IF(ISNUMBER(AY6),AY6,0)+AZ6) / ($I6*(($J6+AZ6+IF(ISNUMBER(AY6),AY6,0))/$J6)^CAPA!$F$80),
NA())</f>
        <v>#N/A</v>
      </c>
      <c r="BE6" s="48">
        <f>-CAPA!I$15-$B6</f>
        <v>10</v>
      </c>
      <c r="BF6" s="48">
        <f>IF($B6&gt;CALCULO!$C$28,
        IF($H6*(PI()*BD$4/100)&lt;BG5, $H6*(PI()*BD$4/100),BG5), NA())</f>
        <v>24.947621119512224</v>
      </c>
      <c r="BG6" s="48">
        <f t="shared" ref="BG6:BG52" si="8">IF(ISNUMBER(BF6),
        IF(BE5&lt;=0,BG5,
             IF(BG5-BF6&lt;0,0,BG5-BF6)), BG5)</f>
        <v>412.68332608170721</v>
      </c>
      <c r="BH6" s="48" t="e">
        <f t="shared" ref="BH6:BH16" si="9">IF(OR(BE6&gt;=0,BG6&lt;0),NA(),4*BG6/(PI()*(BD$4*0.01+(-BE6-0.5))^2))</f>
        <v>#N/A</v>
      </c>
      <c r="BI6" s="48" t="e">
        <f t="array" ref="BI6">IF(BE5&lt;=0,
       tensaogrupo(-BE5,BD$4),
  NA())</f>
        <v>#N/A</v>
      </c>
      <c r="BJ6" s="3" t="e">
        <f>IFERROR(
      (IF(ISNUMBER(BH6),BH6,0)+BI6) / ($I6*(($J6+BI6+IF(ISNUMBER(BH6),BH6,0))/$J6)^CAPA!$F$80),
NA())</f>
        <v>#N/A</v>
      </c>
    </row>
    <row r="7" spans="1:62">
      <c r="A7" s="118" t="str">
        <f xml:space="preserve"> IF(CAPA!F12= ""," ",CAPA!F12)</f>
        <v>D-areia argilosa</v>
      </c>
      <c r="B7" s="2">
        <v>4</v>
      </c>
      <c r="C7" s="48">
        <f>CAPA!D12</f>
        <v>3</v>
      </c>
      <c r="D7" s="48">
        <f>CAPA!E12</f>
        <v>16</v>
      </c>
      <c r="E7" s="119">
        <f>C7*IFERROR(INDEX(Compatibilidade!$G$6:$G$20,MATCH(A7,Compatibilidade!$C$6:$C$20,0)) * INDEX(Compatibilidade!$H$6:$H$20,MATCH(A7,Compatibilidade!$C$6:$C$20,0)),"0")</f>
        <v>4.95</v>
      </c>
      <c r="F7" s="119"/>
      <c r="G7" s="3">
        <f>IF(B7&gt;CALCULO!$C$28,CALCULO!$C$15,NA())</f>
        <v>0.81681408993334625</v>
      </c>
      <c r="H7" s="3">
        <f>IF(CAPA!$O$60 = "Aoki-Velloso (1975)",CALCULO!S10,
        IF(CAPA!$O$60 = "Décourt-Quaresma (1978)",CALCULO!AG10*CALCULO!AF10,
              IF(CAPA!$O$60 = "Teixeira (1996)",CALCULO!AT10,
                    IF(CAPA!$O$60 = "Média",CALCULO!AT10,0))))</f>
        <v>20.300751879699249</v>
      </c>
      <c r="I7" s="48">
        <f>IFERROR(C7*CALCULO!P10*IF(OR(CALCULO!C$5="C-Pré-moldada",CALCULO!C$5="B-Metálica"),6,IF(CALCULO!C$5="F-Hélice Contínua",4,3)),NA())</f>
        <v>10.799999999999999</v>
      </c>
      <c r="J7" s="48">
        <f>J6+IF(-B7&gt;=CALCULO!C$18,D7,D7-CALCULO!C$19)</f>
        <v>64</v>
      </c>
      <c r="K7" s="48"/>
      <c r="L7" s="48">
        <f>-CAPA!I$89-B7</f>
        <v>13</v>
      </c>
      <c r="M7" s="48">
        <f t="shared" ref="M7:M14" si="10">IFERROR(IF(N6&lt;H7*G7,N6,H7*G7),NA())</f>
        <v>16.581940171579209</v>
      </c>
      <c r="N7" s="160">
        <f t="shared" si="1"/>
        <v>444.72686609473595</v>
      </c>
      <c r="O7" s="48" t="e">
        <f>IF(OR(L7&gt;=0,N7&lt;0),NA(),4*N7/(PI()*(CALCULO!$C$8*0.01+(-L7-0.5))^2))</f>
        <v>#N/A</v>
      </c>
      <c r="P7" s="48" t="e" cm="1">
        <f t="array" ref="P7">IF(L6&lt;=0,
       tensao(-L6),
  NA())</f>
        <v>#N/A</v>
      </c>
      <c r="Q7" s="48" t="e">
        <f>IFERROR(
      (IF(ISNUMBER(O7),O7,0)+P7) / (I7*((J7+P7+IF(ISNUMBER(O7),O7,0))/J7)^CAPA!F$80),
NA())</f>
        <v>#N/A</v>
      </c>
      <c r="U7" s="48">
        <f>-CAPA!M$89-B7</f>
        <v>8</v>
      </c>
      <c r="V7" s="48">
        <f>IF(B7&gt;CALCULO!$C$28,
        IF($H7*(PI()*$T$4/100)&lt;W6, $H7*(PI()*$T$4/100),W6), NA())</f>
        <v>37.421431679268338</v>
      </c>
      <c r="W7" s="160">
        <f t="shared" si="2"/>
        <v>375.26189440243888</v>
      </c>
      <c r="X7" s="48" t="e">
        <f t="shared" si="0"/>
        <v>#N/A</v>
      </c>
      <c r="Y7" s="48" t="e" cm="1">
        <f t="array" ref="Y7">IF(U6&lt;=0,
       tensaogrupo(-U6,T$4),
  NA())</f>
        <v>#N/A</v>
      </c>
      <c r="Z7" s="48" t="e">
        <f>IFERROR(
      (IF(ISNUMBER(X7),X7,0)+Y7) / ($I7*(($J7+Y7+IF(ISNUMBER(X7),X7,0))/$J7)^CAPA!F$80),
NA())</f>
        <v>#N/A</v>
      </c>
      <c r="AD7" s="48">
        <f>-CAPA!P$89-$B7</f>
        <v>4</v>
      </c>
      <c r="AE7" s="48">
        <f>IF($B7&gt;CALCULO!$C$28,
        IF($H7*(PI()*AC$4/100)&lt;AF6, $H7*(PI()*AC$4/100),AF6), NA())</f>
        <v>49.249373760562207</v>
      </c>
      <c r="AF7" s="48">
        <f t="shared" si="4"/>
        <v>335.83542079812599</v>
      </c>
      <c r="AG7" s="48" t="e">
        <f>IF(OR(AD7&gt;=0,AF7&lt;0),NA(),4*AF7/(PI()*(AC$4*0.01+(-AD7-0.5))^2))</f>
        <v>#N/A</v>
      </c>
      <c r="AH7" s="48" t="e" cm="1">
        <f t="array" ref="AH7">IF(AD6&lt;=0,
       tensaogrupo(-AD6,AC$4),
  NA())</f>
        <v>#N/A</v>
      </c>
      <c r="AI7" s="48" t="e">
        <f>IFERROR(
      (IF(ISNUMBER(AG7),AG7,0)+AH7) / ($I7*((J7+AH7+IF(ISNUMBER(AG7),AG7,0))/J7)^CAPA!F$80),
NA())</f>
        <v>#N/A</v>
      </c>
      <c r="AM7" s="48">
        <f>-CAPA!S$89-$B7</f>
        <v>4</v>
      </c>
      <c r="AN7" s="48">
        <f>IF($B7&gt;CALCULO!$C$28,
        IF($H7*(PI()*AL$4/100)&lt;AO6, $H7*(PI()*AL$4/100),AO6), NA())</f>
        <v>74.842863358536675</v>
      </c>
      <c r="AO7" s="48">
        <f t="shared" si="6"/>
        <v>250.52378880487774</v>
      </c>
      <c r="AP7" s="48" t="e">
        <f t="shared" si="3"/>
        <v>#N/A</v>
      </c>
      <c r="AQ7" s="48" t="e">
        <f t="array" ref="AQ7">IF(AM6&lt;=0,
       tensaogrupo(-AM6,AL$4),
  NA())</f>
        <v>#N/A</v>
      </c>
      <c r="AR7" s="48" t="e">
        <f>IFERROR(
      (IF(ISNUMBER(AP7),AP7,0)+AQ7) / ($I7*((J7+AQ7+IF(ISNUMBER(AP7),AP7,0))/J7)^CAPA!F$80),
NA())</f>
        <v>#N/A</v>
      </c>
      <c r="AV7" s="48">
        <f>-CAPA!V$89-$B7</f>
        <v>3</v>
      </c>
      <c r="AW7" s="48">
        <f>IF($B7&gt;CALCULO!$C$28,
        IF($H7*(PI()*AU$4/100)&lt;AX6, $H7*(PI()*AU$4/100),AX6), NA())</f>
        <v>98.093560145993379</v>
      </c>
      <c r="AX7" s="48">
        <f t="shared" si="7"/>
        <v>173.02146618002212</v>
      </c>
      <c r="AY7" s="48" t="e">
        <f>IF(OR(AV7&gt;=0,AX7&lt;0),NA(),4*AX7/(PI()*(AU$4*0.01+(-AV7-0.5))^2))</f>
        <v>#N/A</v>
      </c>
      <c r="AZ7" s="48" t="e">
        <f t="array" ref="AZ7">IF(AV6&lt;=0,
       tensaogrupo(-AV6,AU$4),
  NA())</f>
        <v>#N/A</v>
      </c>
      <c r="BA7" s="3" t="e">
        <f>IFERROR(
      (IF(ISNUMBER(AY7),AY7,0)+AZ7) / ($I7*(($J7+AZ7+IF(ISNUMBER(AY7),AY7,0))/$J7)^CAPA!$F$80),
NA())</f>
        <v>#N/A</v>
      </c>
      <c r="BE7" s="48">
        <f>-CAPA!I$15-$B7</f>
        <v>9</v>
      </c>
      <c r="BF7" s="48">
        <f>IF($B7&gt;CALCULO!$C$28,
        IF($H7*(PI()*BD$4/100)&lt;BG6, $H7*(PI()*BD$4/100),BG6), NA())</f>
        <v>37.421431679268338</v>
      </c>
      <c r="BG7" s="48">
        <f t="shared" si="8"/>
        <v>375.26189440243888</v>
      </c>
      <c r="BH7" s="48" t="e">
        <f t="shared" si="9"/>
        <v>#N/A</v>
      </c>
      <c r="BI7" s="48" t="e">
        <f t="array" ref="BI7">IF(BE6&lt;=0,
       tensaogrupo(-BE6,BD$4),
  NA())</f>
        <v>#N/A</v>
      </c>
      <c r="BJ7" s="3" t="e">
        <f>IFERROR(
      (IF(ISNUMBER(BH7),BH7,0)+BI7) / ($I7*(($J7+BI7+IF(ISNUMBER(BH7),BH7,0))/$J7)^CAPA!$F$80),
NA())</f>
        <v>#N/A</v>
      </c>
    </row>
    <row r="8" spans="1:62">
      <c r="A8" s="118" t="str">
        <f xml:space="preserve"> IF(CAPA!F13= ""," ",CAPA!F13)</f>
        <v>D-areia argilosa</v>
      </c>
      <c r="B8" s="2">
        <v>5</v>
      </c>
      <c r="C8" s="48">
        <f>CAPA!D13</f>
        <v>2</v>
      </c>
      <c r="D8" s="48">
        <f>CAPA!E13</f>
        <v>16</v>
      </c>
      <c r="E8" s="119">
        <f>C8*IFERROR(INDEX(Compatibilidade!$G$6:$G$20,MATCH(A8,Compatibilidade!$C$6:$C$20,0)) * INDEX(Compatibilidade!$H$6:$H$20,MATCH(A8,Compatibilidade!$C$6:$C$20,0)),"0")</f>
        <v>3.3000000000000003</v>
      </c>
      <c r="F8" s="119"/>
      <c r="G8" s="3">
        <f>IF(B8&gt;CALCULO!$C$28,CALCULO!$C$15,NA())</f>
        <v>0.81681408993334625</v>
      </c>
      <c r="H8" s="3">
        <f>IF(CAPA!$O$60 = "Aoki-Velloso (1975)",CALCULO!S11,
        IF(CAPA!$O$60 = "Décourt-Quaresma (1978)",CALCULO!AG11*CALCULO!AF11,
              IF(CAPA!$O$60 = "Teixeira (1996)",CALCULO!AT11,
                    IF(CAPA!$O$60 = "Média",CALCULO!AT11,0))))</f>
        <v>13.533834586466165</v>
      </c>
      <c r="I8" s="48">
        <f>IFERROR(C8*CALCULO!P11*IF(OR(CALCULO!C$5="C-Pré-moldada",CALCULO!C$5="B-Metálica"),6,IF(CALCULO!C$5="F-Hélice Contínua",4,3)),NA())</f>
        <v>7.1999999999999993</v>
      </c>
      <c r="J8" s="48">
        <f>J7+IF(-B8&gt;=CALCULO!C$18,D8,D8-CALCULO!C$19)</f>
        <v>80</v>
      </c>
      <c r="K8" s="48"/>
      <c r="L8" s="48">
        <f>-CAPA!I$89-B8</f>
        <v>12</v>
      </c>
      <c r="M8" s="48">
        <f t="shared" si="10"/>
        <v>11.054626781052805</v>
      </c>
      <c r="N8" s="160">
        <f t="shared" si="1"/>
        <v>433.67223931368312</v>
      </c>
      <c r="O8" s="48" t="e">
        <f>IF(OR(L8&gt;=0,N8&lt;0),NA(),4*N8/(PI()*(CALCULO!$C$8*0.01+(-L8-0.5))^2))</f>
        <v>#N/A</v>
      </c>
      <c r="P8" s="48" t="e" cm="1">
        <f t="array" ref="P8">IF(L7&lt;=0,
       tensao(-L7),
  NA())</f>
        <v>#N/A</v>
      </c>
      <c r="Q8" s="48" t="e">
        <f>IFERROR(
      (IF(ISNUMBER(O8),O8,0)+P8) / (I8*((J8+P8+IF(ISNUMBER(O8),O8,0))/J8)^CAPA!F$80),
NA())</f>
        <v>#N/A</v>
      </c>
      <c r="U8" s="48">
        <f>-CAPA!M$89-B8</f>
        <v>7</v>
      </c>
      <c r="V8" s="48">
        <f>IF(B8&gt;CALCULO!$C$28,
        IF($H8*(PI()*$T$4/100)&lt;W7, $H8*(PI()*$T$4/100),W7), NA())</f>
        <v>24.947621119512224</v>
      </c>
      <c r="W8" s="160">
        <f t="shared" si="2"/>
        <v>350.31427328292665</v>
      </c>
      <c r="X8" s="48" t="e">
        <f t="shared" si="0"/>
        <v>#N/A</v>
      </c>
      <c r="Y8" s="48" t="e" cm="1">
        <f t="array" ref="Y8">IF(U7&lt;=0,
       tensaogrupo(-U7,T$4),
  NA())</f>
        <v>#N/A</v>
      </c>
      <c r="Z8" s="48" t="e">
        <f>IFERROR(
      (IF(ISNUMBER(X8),X8,0)+Y8) / ($I8*(($J8+Y8+IF(ISNUMBER(X8),X8,0))/$J8)^CAPA!F$80),
NA())</f>
        <v>#N/A</v>
      </c>
      <c r="AD8" s="48">
        <f>-CAPA!P$89-$B8</f>
        <v>3</v>
      </c>
      <c r="AE8" s="48">
        <f>IF($B8&gt;CALCULO!$C$28,
        IF($H8*(PI()*AC$4/100)&lt;AF7, $H8*(PI()*AC$4/100),AF7), NA())</f>
        <v>32.832915840374802</v>
      </c>
      <c r="AF8" s="48">
        <f t="shared" si="4"/>
        <v>303.00250495775117</v>
      </c>
      <c r="AG8" s="48" t="e">
        <f t="shared" si="5"/>
        <v>#N/A</v>
      </c>
      <c r="AH8" s="48" t="e" cm="1">
        <f t="array" ref="AH8">IF(AD7&lt;=0,
       tensaogrupo(-AD7,AC$4),
  NA())</f>
        <v>#N/A</v>
      </c>
      <c r="AI8" s="48" t="e">
        <f>IFERROR(
      (IF(ISNUMBER(AG8),AG8,0)+AH8) / ($I8*((J8+AH8+IF(ISNUMBER(AG8),AG8,0))/J8)^CAPA!F$80),
NA())</f>
        <v>#N/A</v>
      </c>
      <c r="AM8" s="48">
        <f>-CAPA!S$89-$B8</f>
        <v>3</v>
      </c>
      <c r="AN8" s="48">
        <f>IF($B8&gt;CALCULO!$C$28,
        IF($H8*(PI()*AL$4/100)&lt;AO7, $H8*(PI()*AL$4/100),AO7), NA())</f>
        <v>49.895242239024448</v>
      </c>
      <c r="AO8" s="48">
        <f t="shared" si="6"/>
        <v>200.6285465658533</v>
      </c>
      <c r="AP8" s="48" t="e">
        <f t="shared" si="3"/>
        <v>#N/A</v>
      </c>
      <c r="AQ8" s="48" t="e">
        <f t="array" ref="AQ8">IF(AM7&lt;=0,
       tensaogrupo(-AM7,AL$4),
  NA())</f>
        <v>#N/A</v>
      </c>
      <c r="AR8" s="48" t="e">
        <f>IFERROR(
      (IF(ISNUMBER(AP8),AP8,0)+AQ8) / ($I8*((J8+AQ8+IF(ISNUMBER(AP8),AP8,0))/J8)^CAPA!F$80),
NA())</f>
        <v>#N/A</v>
      </c>
      <c r="AV8" s="48">
        <f>-CAPA!V$89-$B8</f>
        <v>2</v>
      </c>
      <c r="AW8" s="48">
        <f>IF($B8&gt;CALCULO!$C$28,
        IF($H8*(PI()*AU$4/100)&lt;AX7, $H8*(PI()*AU$4/100),AX7), NA())</f>
        <v>65.395706763995577</v>
      </c>
      <c r="AX8" s="48">
        <f t="shared" si="7"/>
        <v>107.62575941602654</v>
      </c>
      <c r="AY8" s="48" t="e">
        <f>IF(OR(AV8&gt;=0,AX8&lt;0),NA(),4*AX8/(PI()*(AU$4*0.01+(-AV8-0.5))^2))</f>
        <v>#N/A</v>
      </c>
      <c r="AZ8" s="48" t="e">
        <f t="array" ref="AZ8">IF(AV7&lt;=0,
       tensaogrupo(-AV7,AU$4),
  NA())</f>
        <v>#N/A</v>
      </c>
      <c r="BA8" s="3" t="e">
        <f>IFERROR(
      (IF(ISNUMBER(AY8),AY8,0)+AZ8) / ($I8*(($J8+AZ8+IF(ISNUMBER(AY8),AY8,0))/$J8)^CAPA!$F$80),
NA())</f>
        <v>#N/A</v>
      </c>
      <c r="BE8" s="48">
        <f>-CAPA!I$15-$B8</f>
        <v>8</v>
      </c>
      <c r="BF8" s="48">
        <f>IF($B8&gt;CALCULO!$C$28,
        IF($H8*(PI()*BD$4/100)&lt;BG7, $H8*(PI()*BD$4/100),BG7), NA())</f>
        <v>24.947621119512224</v>
      </c>
      <c r="BG8" s="48">
        <f t="shared" si="8"/>
        <v>350.31427328292665</v>
      </c>
      <c r="BH8" s="48" t="e">
        <f>IF(OR(BE8&gt;=0,BG8&lt;0),NA(),4*BG8/(PI()*(BD$4*0.01+(-BE8-0.5))^2))</f>
        <v>#N/A</v>
      </c>
      <c r="BI8" s="48" t="e">
        <f t="array" ref="BI8">IF(BE7&lt;=0,
       tensaogrupo(-BE7,BD$4),
  NA())</f>
        <v>#N/A</v>
      </c>
      <c r="BJ8" s="3" t="e">
        <f>IFERROR(
      (IF(ISNUMBER(BH8),BH8,0)+BI8) / ($I8*(($J8+BI8+IF(ISNUMBER(BH8),BH8,0))/$J8)^CAPA!$F$80),
NA())</f>
        <v>#N/A</v>
      </c>
    </row>
    <row r="9" spans="1:62">
      <c r="A9" s="118" t="str">
        <f xml:space="preserve"> IF(CAPA!F14= ""," ",CAPA!F14)</f>
        <v>D-areia argilosa</v>
      </c>
      <c r="B9" s="2">
        <v>6</v>
      </c>
      <c r="C9" s="48">
        <f>CAPA!D14</f>
        <v>4</v>
      </c>
      <c r="D9" s="48">
        <f>CAPA!E14</f>
        <v>16</v>
      </c>
      <c r="E9" s="119">
        <f>C9*IFERROR(INDEX(Compatibilidade!$G$6:$G$20,MATCH(A9,Compatibilidade!$C$6:$C$20,0)) * INDEX(Compatibilidade!$H$6:$H$20,MATCH(A9,Compatibilidade!$C$6:$C$20,0)),"0")</f>
        <v>6.6000000000000005</v>
      </c>
      <c r="F9" s="119"/>
      <c r="G9" s="3">
        <f>IF(B9&gt;CALCULO!$C$28,CALCULO!$C$15,NA())</f>
        <v>0.81681408993334625</v>
      </c>
      <c r="H9" s="3">
        <f>IF(CAPA!$O$60 = "Aoki-Velloso (1975)",CALCULO!S12,
        IF(CAPA!$O$60 = "Décourt-Quaresma (1978)",CALCULO!AG12*CALCULO!AF12,
              IF(CAPA!$O$60 = "Teixeira (1996)",CALCULO!AT12,
                    IF(CAPA!$O$60 = "Média",CALCULO!AT12,0))))</f>
        <v>27.06766917293233</v>
      </c>
      <c r="I9" s="48">
        <f>IFERROR(C9*CALCULO!P12*IF(OR(CALCULO!C$5="C-Pré-moldada",CALCULO!C$5="B-Metálica"),6,IF(CALCULO!C$5="F-Hélice Contínua",4,3)),NA())</f>
        <v>14.399999999999999</v>
      </c>
      <c r="J9" s="48">
        <f>J8+IF(-B9&gt;=CALCULO!C$18,D9,D9-CALCULO!C$19)</f>
        <v>96</v>
      </c>
      <c r="K9" s="48"/>
      <c r="L9" s="48">
        <f>-CAPA!I$89-B9</f>
        <v>11</v>
      </c>
      <c r="M9" s="48">
        <f t="shared" si="10"/>
        <v>22.109253562105611</v>
      </c>
      <c r="N9" s="160">
        <f t="shared" si="1"/>
        <v>411.56298575157751</v>
      </c>
      <c r="O9" s="48" t="e">
        <f>IF(OR(L9&gt;=0,N9&lt;0),NA(),4*N9/(PI()*(CALCULO!$C$8*0.01+(-L9-0.5))^2))</f>
        <v>#N/A</v>
      </c>
      <c r="P9" s="48" t="e" cm="1">
        <f t="array" ref="P9">IF(L8&lt;=0,
       tensao(-L8),
  NA())</f>
        <v>#N/A</v>
      </c>
      <c r="Q9" s="48" t="e">
        <f>IFERROR(
      (IF(ISNUMBER(O9),O9,0)+P9) / (I9*((J9+P9+IF(ISNUMBER(O9),O9,0))/J9)^CAPA!F$80),
NA())</f>
        <v>#N/A</v>
      </c>
      <c r="U9" s="48">
        <f>-CAPA!M$89-B9</f>
        <v>6</v>
      </c>
      <c r="V9" s="48">
        <f>IF(B9&gt;CALCULO!$C$28,
        IF($H9*(PI()*$T$4/100)&lt;W8, $H9*(PI()*$T$4/100),W8), NA())</f>
        <v>49.895242239024448</v>
      </c>
      <c r="W9" s="160">
        <f t="shared" si="2"/>
        <v>300.41903104390218</v>
      </c>
      <c r="X9" s="48" t="e">
        <f t="shared" si="0"/>
        <v>#N/A</v>
      </c>
      <c r="Y9" s="48" t="e" cm="1">
        <f t="array" ref="Y9">IF(U8&lt;=0,
       tensaogrupo(-U8,T$4),
  NA())</f>
        <v>#N/A</v>
      </c>
      <c r="Z9" s="48" t="e">
        <f>IFERROR(
      (IF(ISNUMBER(X9),X9,0)+Y9) / ($I9*(($J9+Y9+IF(ISNUMBER(X9),X9,0))/$J9)^CAPA!F$80),
NA())</f>
        <v>#N/A</v>
      </c>
      <c r="AD9" s="48">
        <f>-CAPA!P$89-$B9</f>
        <v>2</v>
      </c>
      <c r="AE9" s="48">
        <f>IF($B9&gt;CALCULO!$C$28,
        IF($H9*(PI()*AC$4/100)&lt;AF8, $H9*(PI()*AC$4/100),AF8), NA())</f>
        <v>65.665831680749605</v>
      </c>
      <c r="AF9" s="48">
        <f t="shared" si="4"/>
        <v>237.33667327700158</v>
      </c>
      <c r="AG9" s="48" t="e">
        <f t="shared" si="5"/>
        <v>#N/A</v>
      </c>
      <c r="AH9" s="48" t="e" cm="1">
        <f t="array" ref="AH9">IF(AD8&lt;=0,
       tensaogrupo(-AD8,AC$4),
  NA())</f>
        <v>#N/A</v>
      </c>
      <c r="AI9" s="48" t="e">
        <f>IFERROR(
      (IF(ISNUMBER(AG9),AG9,0)+AH9) / ($I9*((J9+AH9+IF(ISNUMBER(AG9),AG9,0))/J9)^CAPA!F$80),
NA())</f>
        <v>#N/A</v>
      </c>
      <c r="AM9" s="48">
        <f>-CAPA!S$89-$B9</f>
        <v>2</v>
      </c>
      <c r="AN9" s="48">
        <f>IF($B9&gt;CALCULO!$C$28,
        IF($H9*(PI()*AL$4/100)&lt;AO8, $H9*(PI()*AL$4/100),AO8), NA())</f>
        <v>99.790484478048896</v>
      </c>
      <c r="AO9" s="48">
        <f t="shared" si="6"/>
        <v>100.8380620878044</v>
      </c>
      <c r="AP9" s="48" t="e">
        <f t="shared" si="3"/>
        <v>#N/A</v>
      </c>
      <c r="AQ9" s="48" t="e">
        <f t="array" ref="AQ9">IF(AM8&lt;=0,
       tensaogrupo(-AM8,AL$4),
  NA())</f>
        <v>#N/A</v>
      </c>
      <c r="AR9" s="48" t="e">
        <f>IFERROR(
      (IF(ISNUMBER(AP9),AP9,0)+AQ9) / ($I9*((J9+AQ9+IF(ISNUMBER(AP9),AP9,0))/J9)^CAPA!F$80),
NA())</f>
        <v>#N/A</v>
      </c>
      <c r="AV9" s="48">
        <f>-CAPA!V$89-$B9</f>
        <v>1</v>
      </c>
      <c r="AW9" s="48">
        <f>IF($B9&gt;CALCULO!$C$28,
        IF($H9*(PI()*AU$4/100)&lt;AX8, $H9*(PI()*AU$4/100),AX8), NA())</f>
        <v>107.62575941602654</v>
      </c>
      <c r="AX9" s="48">
        <f t="shared" si="7"/>
        <v>0</v>
      </c>
      <c r="AY9" s="48" t="e">
        <f t="shared" ref="AY9:AY52" si="11">IF(OR(AV9&gt;=0,AX9&lt;0),NA(),4*AX9/(PI()*(AU$4*0.01+(-AV9-0.5))^2))</f>
        <v>#N/A</v>
      </c>
      <c r="AZ9" s="48" t="e">
        <f t="array" ref="AZ9">IF(AV8&lt;=0,
       tensaogrupo(-AV8,AU$4),
  NA())</f>
        <v>#N/A</v>
      </c>
      <c r="BA9" s="3" t="e">
        <f>IFERROR(
      (IF(ISNUMBER(AY9),AY9,0)+AZ9) / ($I9*(($J9+AZ9+IF(ISNUMBER(AY9),AY9,0))/$J9)^CAPA!$F$80),
NA())</f>
        <v>#N/A</v>
      </c>
      <c r="BE9" s="48">
        <f>-CAPA!I$15-$B9</f>
        <v>7</v>
      </c>
      <c r="BF9" s="48">
        <f>IF($B9&gt;CALCULO!$C$28,
        IF($H9*(PI()*BD$4/100)&lt;BG8, $H9*(PI()*BD$4/100),BG8), NA())</f>
        <v>49.895242239024448</v>
      </c>
      <c r="BG9" s="48">
        <f t="shared" si="8"/>
        <v>300.41903104390218</v>
      </c>
      <c r="BH9" s="48" t="e">
        <f t="shared" si="9"/>
        <v>#N/A</v>
      </c>
      <c r="BI9" s="48" t="e">
        <f t="array" ref="BI9">IF(BE8&lt;=0,
       tensaogrupo(-BE8,BD$4),
  NA())</f>
        <v>#N/A</v>
      </c>
      <c r="BJ9" s="3" t="e">
        <f>IFERROR(
      (IF(ISNUMBER(BH9),BH9,0)+BI9) / ($I9*(($J9+BI9+IF(ISNUMBER(BH9),BH9,0))/$J9)^CAPA!$F$80),
NA())</f>
        <v>#N/A</v>
      </c>
    </row>
    <row r="10" spans="1:62">
      <c r="A10" s="118" t="str">
        <f xml:space="preserve"> IF(CAPA!F15= ""," ",CAPA!F15)</f>
        <v>D-areia argilosa</v>
      </c>
      <c r="B10" s="2">
        <v>7</v>
      </c>
      <c r="C10" s="48">
        <f>CAPA!D15</f>
        <v>4</v>
      </c>
      <c r="D10" s="48">
        <f>CAPA!E15</f>
        <v>16</v>
      </c>
      <c r="E10" s="119">
        <f>C10*IFERROR(INDEX(Compatibilidade!$G$6:$G$20,MATCH(A10,Compatibilidade!$C$6:$C$20,0)) * INDEX(Compatibilidade!$H$6:$H$20,MATCH(A10,Compatibilidade!$C$6:$C$20,0)),"0")</f>
        <v>6.6000000000000005</v>
      </c>
      <c r="F10" s="119"/>
      <c r="G10" s="3">
        <f>IF(B10&gt;CALCULO!$C$28,CALCULO!$C$15,NA())</f>
        <v>0.81681408993334625</v>
      </c>
      <c r="H10" s="3">
        <f>IF(CAPA!$O$60 = "Aoki-Velloso (1975)",CALCULO!S13,
        IF(CAPA!$O$60 = "Décourt-Quaresma (1978)",CALCULO!AG13*CALCULO!AF13,
              IF(CAPA!$O$60 = "Teixeira (1996)",CALCULO!AT13,
                    IF(CAPA!$O$60 = "Média",CALCULO!AT13,0))))</f>
        <v>27.06766917293233</v>
      </c>
      <c r="I10" s="48">
        <f>IFERROR(C10*CALCULO!P13*IF(OR(CALCULO!C$5="C-Pré-moldada",CALCULO!C$5="B-Metálica"),6,IF(CALCULO!C$5="F-Hélice Contínua",4,3)),NA())</f>
        <v>14.399999999999999</v>
      </c>
      <c r="J10" s="48">
        <f>J9+IF(-B10&gt;=CALCULO!C$18,D10,D10-CALCULO!C$19)</f>
        <v>112</v>
      </c>
      <c r="K10" s="48"/>
      <c r="L10" s="48">
        <f>-CAPA!I$89-B10</f>
        <v>10</v>
      </c>
      <c r="M10" s="48">
        <f t="shared" si="10"/>
        <v>22.109253562105611</v>
      </c>
      <c r="N10" s="160">
        <f t="shared" si="1"/>
        <v>389.45373218947191</v>
      </c>
      <c r="O10" s="48" t="e">
        <f>IF(OR(L10&gt;=0,N10&lt;0),NA(),4*N10/(PI()*(CALCULO!$C$8*0.01+(-L10-0.5))^2))</f>
        <v>#N/A</v>
      </c>
      <c r="P10" s="48" t="e" cm="1">
        <f t="array" ref="P10">IF(L9&lt;=0,
       tensao(-L9),
  NA())</f>
        <v>#N/A</v>
      </c>
      <c r="Q10" s="48" t="e">
        <f>IFERROR(
      (IF(ISNUMBER(O10),O10,0)+P10) / (I10*((J10+P10+IF(ISNUMBER(O10),O10,0))/J10)^CAPA!F$80),
NA())</f>
        <v>#N/A</v>
      </c>
      <c r="U10" s="48">
        <f>-CAPA!M$89-B10</f>
        <v>5</v>
      </c>
      <c r="V10" s="48">
        <f>IF(B10&gt;CALCULO!$C$28,
        IF($H10*(PI()*$T$4/100)&lt;W9, $H10*(PI()*$T$4/100),W9), NA())</f>
        <v>49.895242239024448</v>
      </c>
      <c r="W10" s="160">
        <f t="shared" si="2"/>
        <v>250.52378880487774</v>
      </c>
      <c r="X10" s="48" t="e">
        <f t="shared" si="0"/>
        <v>#N/A</v>
      </c>
      <c r="Y10" s="48" t="e" cm="1">
        <f t="array" ref="Y10">IF(U9&lt;=0,
       tensaogrupo(-U9,T$4),
  NA())</f>
        <v>#N/A</v>
      </c>
      <c r="Z10" s="48" t="e">
        <f>IFERROR(
      (IF(ISNUMBER(X10),X10,0)+Y10) / ($I10*(($J10+Y10+IF(ISNUMBER(X10),X10,0))/$J10)^CAPA!F$80),
NA())</f>
        <v>#N/A</v>
      </c>
      <c r="AD10" s="48">
        <f>-CAPA!P$89-$B10</f>
        <v>1</v>
      </c>
      <c r="AE10" s="48">
        <f>IF($B10&gt;CALCULO!$C$28,
        IF($H10*(PI()*AC$4/100)&lt;AF9, $H10*(PI()*AC$4/100),AF9), NA())</f>
        <v>65.665831680749605</v>
      </c>
      <c r="AF10" s="48">
        <f t="shared" si="4"/>
        <v>171.67084159625199</v>
      </c>
      <c r="AG10" s="48" t="e">
        <f t="shared" si="5"/>
        <v>#N/A</v>
      </c>
      <c r="AH10" s="48" t="e" cm="1">
        <f t="array" ref="AH10">IF(AD9&lt;=0,
       tensaogrupo(-AD9,AC$4),
  NA())</f>
        <v>#N/A</v>
      </c>
      <c r="AI10" s="48" t="e">
        <f>IFERROR(
      (IF(ISNUMBER(AG10),AG10,0)+AH10) / ($I10*((J10+AH10+IF(ISNUMBER(AG10),AG10,0))/J10)^CAPA!F$80),
NA())</f>
        <v>#N/A</v>
      </c>
      <c r="AM10" s="48">
        <f>-CAPA!S$89-$B10</f>
        <v>1</v>
      </c>
      <c r="AN10" s="48">
        <f>IF($B10&gt;CALCULO!$C$28,
        IF($H10*(PI()*AL$4/100)&lt;AO9, $H10*(PI()*AL$4/100),AO9), NA())</f>
        <v>99.790484478048896</v>
      </c>
      <c r="AO10" s="48">
        <f t="shared" si="6"/>
        <v>1.047577609755507</v>
      </c>
      <c r="AP10" s="48" t="e">
        <f t="shared" si="3"/>
        <v>#N/A</v>
      </c>
      <c r="AQ10" s="48" t="e">
        <f t="array" ref="AQ10">IF(AM9&lt;=0,
       tensaogrupo(-AM9,AL$4),
  NA())</f>
        <v>#N/A</v>
      </c>
      <c r="AR10" s="48" t="e">
        <f>IFERROR(
      (IF(ISNUMBER(AP10),AP10,0)+AQ10) / ($I10*((J10+AQ10+IF(ISNUMBER(AP10),AP10,0))/J10)^CAPA!F$80),
NA())</f>
        <v>#N/A</v>
      </c>
      <c r="AV10" s="48">
        <f>-CAPA!V$89-$B10</f>
        <v>0</v>
      </c>
      <c r="AW10" s="48">
        <f>IF($B10&gt;CALCULO!$C$28,
        IF($H10*(PI()*AU$4/100)&lt;AX9, $H10*(PI()*AU$4/100),AX9), NA())</f>
        <v>0</v>
      </c>
      <c r="AX10" s="48">
        <f t="shared" si="7"/>
        <v>0</v>
      </c>
      <c r="AY10" s="48" t="e">
        <f t="shared" si="11"/>
        <v>#N/A</v>
      </c>
      <c r="AZ10" s="48" t="e">
        <f t="array" ref="AZ10">IF(AV9&lt;=0,
       tensaogrupo(-AV9,AU$4),
  NA())</f>
        <v>#N/A</v>
      </c>
      <c r="BA10" s="3" t="e">
        <f>IFERROR(
      (IF(ISNUMBER(AY10),AY10,0)+AZ10) / ($I10*(($J10+AZ10+IF(ISNUMBER(AY10),AY10,0))/$J10)^CAPA!$F$80),
NA())</f>
        <v>#N/A</v>
      </c>
      <c r="BE10" s="48">
        <f>-CAPA!I$15-$B10</f>
        <v>6</v>
      </c>
      <c r="BF10" s="48">
        <f>IF($B10&gt;CALCULO!$C$28,
        IF($H10*(PI()*BD$4/100)&lt;BG9, $H10*(PI()*BD$4/100),BG9), NA())</f>
        <v>49.895242239024448</v>
      </c>
      <c r="BG10" s="48">
        <f t="shared" si="8"/>
        <v>250.52378880487774</v>
      </c>
      <c r="BH10" s="48" t="e">
        <f t="shared" si="9"/>
        <v>#N/A</v>
      </c>
      <c r="BI10" s="48" t="e">
        <f t="array" ref="BI10">IF(BE9&lt;=0,
       tensaogrupo(-BE9,BD$4),
  NA())</f>
        <v>#N/A</v>
      </c>
      <c r="BJ10" s="3" t="e">
        <f>IFERROR(
      (IF(ISNUMBER(BH10),BH10,0)+BI10) / ($I10*(($J10+BI10+IF(ISNUMBER(BH10),BH10,0))/$J10)^CAPA!$F$80),
NA())</f>
        <v>#N/A</v>
      </c>
    </row>
    <row r="11" spans="1:62">
      <c r="A11" s="118" t="str">
        <f xml:space="preserve"> IF(CAPA!F16= ""," ",CAPA!F16)</f>
        <v>D-areia argilosa</v>
      </c>
      <c r="B11" s="2">
        <v>8</v>
      </c>
      <c r="C11" s="48">
        <f>CAPA!D16</f>
        <v>7</v>
      </c>
      <c r="D11" s="48">
        <f>CAPA!E16</f>
        <v>16</v>
      </c>
      <c r="E11" s="119">
        <f>C11*IFERROR(INDEX(Compatibilidade!$G$6:$G$20,MATCH(A11,Compatibilidade!$C$6:$C$20,0)) * INDEX(Compatibilidade!$H$6:$H$20,MATCH(A11,Compatibilidade!$C$6:$C$20,0)),"0")</f>
        <v>11.55</v>
      </c>
      <c r="F11" s="119"/>
      <c r="G11" s="3">
        <f>IF(B11&gt;CALCULO!$C$28,CALCULO!$C$15,NA())</f>
        <v>0.81681408993334625</v>
      </c>
      <c r="H11" s="3">
        <f>IF(CAPA!$O$60 = "Aoki-Velloso (1975)",CALCULO!S14,
        IF(CAPA!$O$60 = "Décourt-Quaresma (1978)",CALCULO!AG14*CALCULO!AF14,
              IF(CAPA!$O$60 = "Teixeira (1996)",CALCULO!AT14,
                    IF(CAPA!$O$60 = "Média",CALCULO!AT14,0))))</f>
        <v>47.368421052631575</v>
      </c>
      <c r="I11" s="48">
        <f>IFERROR(C11*CALCULO!P14*IF(OR(CALCULO!C$5="C-Pré-moldada",CALCULO!C$5="B-Metálica"),6,IF(CALCULO!C$5="F-Hélice Contínua",4,3)),NA())</f>
        <v>25.200000000000003</v>
      </c>
      <c r="J11" s="48">
        <f>J10+IF(-B11&gt;=CALCULO!C$18,D11,D11-CALCULO!C$19)</f>
        <v>128</v>
      </c>
      <c r="K11" s="48"/>
      <c r="L11" s="48">
        <f>-CAPA!I$89-B11</f>
        <v>9</v>
      </c>
      <c r="M11" s="48">
        <f t="shared" si="10"/>
        <v>38.69119373368482</v>
      </c>
      <c r="N11" s="160">
        <f t="shared" si="1"/>
        <v>350.76253845578708</v>
      </c>
      <c r="O11" s="48" t="e">
        <f>IF(OR(L11&gt;=0,N11&lt;0),NA(),4*N11/(PI()*(CALCULO!$C$8*0.01+(-L11-0.5))^2))</f>
        <v>#N/A</v>
      </c>
      <c r="P11" s="48" t="e" cm="1">
        <f t="array" ref="P11">IF(L10&lt;=0,
       tensao(-L10),
  NA())</f>
        <v>#N/A</v>
      </c>
      <c r="Q11" s="48" t="e">
        <f>IFERROR(
      (IF(ISNUMBER(O11),O11,0)+P11) / (I11*((J11+P11+IF(ISNUMBER(O11),O11,0))/J11)^CAPA!F$80),
NA())</f>
        <v>#N/A</v>
      </c>
      <c r="U11" s="48">
        <f>-CAPA!M$89-B11</f>
        <v>4</v>
      </c>
      <c r="V11" s="48">
        <f>IF(B11&gt;CALCULO!$C$28,
        IF($H11*(PI()*$T$4/100)&lt;W10, $H11*(PI()*$T$4/100),W10), NA())</f>
        <v>87.316673918292778</v>
      </c>
      <c r="W11" s="160">
        <f t="shared" si="2"/>
        <v>163.20711488658498</v>
      </c>
      <c r="X11" s="48" t="e">
        <f t="shared" si="0"/>
        <v>#N/A</v>
      </c>
      <c r="Y11" s="48" t="e" cm="1">
        <f t="array" ref="Y11">IF(U10&lt;=0,
       tensaogrupo(-U10,T$4),
  NA())</f>
        <v>#N/A</v>
      </c>
      <c r="Z11" s="48" t="e">
        <f>IFERROR(
      (IF(ISNUMBER(X11),X11,0)+Y11) / ($I11*(($J11+Y11+IF(ISNUMBER(X11),X11,0))/$J11)^CAPA!F$80),
NA())</f>
        <v>#N/A</v>
      </c>
      <c r="AD11" s="48">
        <f>-CAPA!P$89-$B11</f>
        <v>0</v>
      </c>
      <c r="AE11" s="48">
        <f>IF($B11&gt;CALCULO!$C$28,
        IF($H11*(PI()*AC$4/100)&lt;AF10, $H11*(PI()*AC$4/100),AF10), NA())</f>
        <v>114.91520544131181</v>
      </c>
      <c r="AF11" s="48">
        <f t="shared" si="4"/>
        <v>56.755636154940177</v>
      </c>
      <c r="AG11" s="48" t="e">
        <f t="shared" si="5"/>
        <v>#N/A</v>
      </c>
      <c r="AH11" s="48" t="e" cm="1">
        <f t="array" ref="AH11">IF(AD10&lt;=0,
       tensaogrupo(-AD10,AC$4),
  NA())</f>
        <v>#N/A</v>
      </c>
      <c r="AI11" s="48" t="e">
        <f>IFERROR(
      (IF(ISNUMBER(AG11),AG11,0)+AH11) / ($I11*((J11+AH11+IF(ISNUMBER(AG11),AG11,0))/J11)^CAPA!F$80),
NA())</f>
        <v>#N/A</v>
      </c>
      <c r="AM11" s="48">
        <f>-CAPA!S$89-$B11</f>
        <v>0</v>
      </c>
      <c r="AN11" s="48">
        <f>IF($B11&gt;CALCULO!$C$28,
        IF($H11*(PI()*AL$4/100)&lt;AO10, $H11*(PI()*AL$4/100),AO10), NA())</f>
        <v>1.047577609755507</v>
      </c>
      <c r="AO11" s="48">
        <f t="shared" si="6"/>
        <v>0</v>
      </c>
      <c r="AP11" s="48" t="e">
        <f t="shared" si="3"/>
        <v>#N/A</v>
      </c>
      <c r="AQ11" s="48" t="e">
        <f t="array" ref="AQ11">IF(AM10&lt;=0,
       tensaogrupo(-AM10,AL$4),
  NA())</f>
        <v>#N/A</v>
      </c>
      <c r="AR11" s="48" t="e">
        <f>IFERROR(
      (IF(ISNUMBER(AP11),AP11,0)+AQ11) / ($I11*((J11+AQ11+IF(ISNUMBER(AP11),AP11,0))/J11)^CAPA!F$80),
NA())</f>
        <v>#N/A</v>
      </c>
      <c r="AV11" s="48">
        <f>-CAPA!V$89-$B11</f>
        <v>-1</v>
      </c>
      <c r="AW11" s="48">
        <f>IF($B11&gt;CALCULO!$C$28,
        IF($H11*(PI()*AU$4/100)&lt;AX10, $H11*(PI()*AU$4/100),AX10), NA())</f>
        <v>0</v>
      </c>
      <c r="AX11" s="48">
        <f t="shared" si="7"/>
        <v>0</v>
      </c>
      <c r="AY11" s="48">
        <f t="shared" si="11"/>
        <v>0</v>
      </c>
      <c r="AZ11" s="48">
        <f t="array" ref="AZ11">IF(AV10&lt;=0,
       tensaogrupo(-AV10,AU$4),
  NA())</f>
        <v>24.673458820128221</v>
      </c>
      <c r="BA11" s="3">
        <f>IFERROR(
      (IF(ISNUMBER(AY11),AY11,0)+AZ11) / ($I11*(($J11+AZ11+IF(ISNUMBER(AY11),AY11,0))/$J11)^CAPA!$F$80),
NA())</f>
        <v>0.896504980351014</v>
      </c>
      <c r="BE11" s="48">
        <f>-CAPA!I$15-$B11</f>
        <v>5</v>
      </c>
      <c r="BF11" s="48">
        <f>IF($B11&gt;CALCULO!$C$28,
        IF($H11*(PI()*BD$4/100)&lt;BG10, $H11*(PI()*BD$4/100),BG10), NA())</f>
        <v>87.316673918292778</v>
      </c>
      <c r="BG11" s="48">
        <f t="shared" si="8"/>
        <v>163.20711488658498</v>
      </c>
      <c r="BH11" s="48" t="e">
        <f t="shared" si="9"/>
        <v>#N/A</v>
      </c>
      <c r="BI11" s="48" t="e">
        <f t="array" ref="BI11">IF(BE10&lt;=0,
       tensaogrupo(-BE10,BD$4),
  NA())</f>
        <v>#N/A</v>
      </c>
      <c r="BJ11" s="3" t="e">
        <f>IFERROR(
      (IF(ISNUMBER(BH11),BH11,0)+BI11) / ($I11*(($J11+BI11+IF(ISNUMBER(BH11),BH11,0))/$J11)^CAPA!$F$80),
NA())</f>
        <v>#N/A</v>
      </c>
    </row>
    <row r="12" spans="1:62">
      <c r="A12" s="118" t="str">
        <f xml:space="preserve"> IF(CAPA!F17= ""," ",CAPA!F17)</f>
        <v>D-areia argilosa</v>
      </c>
      <c r="B12" s="2">
        <v>9</v>
      </c>
      <c r="C12" s="48">
        <f>CAPA!D17</f>
        <v>9</v>
      </c>
      <c r="D12" s="48">
        <f>CAPA!E17</f>
        <v>16</v>
      </c>
      <c r="E12" s="119">
        <f>C12*IFERROR(INDEX(Compatibilidade!$G$6:$G$20,MATCH(A12,Compatibilidade!$C$6:$C$20,0)) * INDEX(Compatibilidade!$H$6:$H$20,MATCH(A12,Compatibilidade!$C$6:$C$20,0)),"0")</f>
        <v>14.850000000000001</v>
      </c>
      <c r="F12" s="119"/>
      <c r="G12" s="3">
        <f>IF(B12&gt;CALCULO!$C$28,CALCULO!$C$15,NA())</f>
        <v>0.81681408993334625</v>
      </c>
      <c r="H12" s="3">
        <f>IF(CAPA!$O$60 = "Aoki-Velloso (1975)",CALCULO!S15,
        IF(CAPA!$O$60 = "Décourt-Quaresma (1978)",CALCULO!AG15*CALCULO!AF15,
              IF(CAPA!$O$60 = "Teixeira (1996)",CALCULO!AT15,
                    IF(CAPA!$O$60 = "Média",CALCULO!AT15,0))))</f>
        <v>60.902255639097739</v>
      </c>
      <c r="I12" s="48">
        <f>IFERROR(C12*CALCULO!P15*IF(OR(CALCULO!C$5="C-Pré-moldada",CALCULO!C$5="B-Metálica"),6,IF(CALCULO!C$5="F-Hélice Contínua",4,3)),NA())</f>
        <v>32.4</v>
      </c>
      <c r="J12" s="48">
        <f>J11+IF(-B12&gt;=CALCULO!C$18,D12,D12-CALCULO!C$19)</f>
        <v>144</v>
      </c>
      <c r="K12" s="48"/>
      <c r="L12" s="48">
        <f>-CAPA!I$89-B12</f>
        <v>8</v>
      </c>
      <c r="M12" s="48">
        <f>IFERROR(IF(N11&lt;H12*G12,N11,H12*G12),NA())</f>
        <v>49.745820514737623</v>
      </c>
      <c r="N12" s="160">
        <f t="shared" si="1"/>
        <v>301.01671794104948</v>
      </c>
      <c r="O12" s="48" t="e">
        <f>IF(OR(L12&gt;=0,N12&lt;0),NA(),4*N12/(PI()*(CALCULO!$C$8*0.01+(-L12-0.5))^2))</f>
        <v>#N/A</v>
      </c>
      <c r="P12" s="48" t="e" cm="1">
        <f t="array" ref="P12">IF(L11&lt;=0,
       tensao(-L11),
  NA())</f>
        <v>#N/A</v>
      </c>
      <c r="Q12" s="48" t="e">
        <f>IFERROR(
      (IF(ISNUMBER(O12),O12,0)+P12) / (I12*((J12+P12+IF(ISNUMBER(O12),O12,0))/J12)^CAPA!F$80),
NA())</f>
        <v>#N/A</v>
      </c>
      <c r="U12" s="48">
        <f>-CAPA!M$89-B12</f>
        <v>3</v>
      </c>
      <c r="V12" s="48">
        <f>IF(B12&gt;CALCULO!$C$28,
        IF($H12*(PI()*$T$4/100)&lt;W11, $H12*(PI()*$T$4/100),W11), NA())</f>
        <v>112.264295037805</v>
      </c>
      <c r="W12" s="160">
        <f t="shared" si="2"/>
        <v>50.942819848779976</v>
      </c>
      <c r="X12" s="48" t="e">
        <f t="shared" si="0"/>
        <v>#N/A</v>
      </c>
      <c r="Y12" s="48" t="e" cm="1">
        <f t="array" ref="Y12">IF(U11&lt;=0,
       tensaogrupo(-U11,T$4),
  NA())</f>
        <v>#N/A</v>
      </c>
      <c r="Z12" s="48" t="e">
        <f>IFERROR(
      (IF(ISNUMBER(X12),X12,0)+Y12) / ($I12*(($J12+Y12+IF(ISNUMBER(X12),X12,0))/$J12)^CAPA!F$80),
NA())</f>
        <v>#N/A</v>
      </c>
      <c r="AD12" s="48">
        <f>-CAPA!P$89-$B12</f>
        <v>-1</v>
      </c>
      <c r="AE12" s="48">
        <f>IF($B12&gt;CALCULO!$C$28,
        IF($H12*(PI()*AC$4/100)&lt;AF11, $H12*(PI()*AC$4/100),AF11), NA())</f>
        <v>56.755636154940177</v>
      </c>
      <c r="AF12" s="48">
        <f t="shared" si="4"/>
        <v>56.755636154940177</v>
      </c>
      <c r="AG12" s="48">
        <f t="shared" si="5"/>
        <v>44.647536838850918</v>
      </c>
      <c r="AH12" s="48" cm="1">
        <f t="array" ref="AH12">IF(AD11&lt;=0,
       tensaogrupo(-AD11,AC$4),
  NA())</f>
        <v>69.699938390634514</v>
      </c>
      <c r="AI12" s="48">
        <f>IFERROR(
      (IF(ISNUMBER(AG12),AG12,0)+AH12) / ($I12*((J12+AH12+IF(ISNUMBER(AG12),AG12,0))/J12)^CAPA!F$80),
NA())</f>
        <v>2.6348791745651172</v>
      </c>
      <c r="AM12" s="48">
        <f>-CAPA!S$89-$B12</f>
        <v>-1</v>
      </c>
      <c r="AN12" s="48">
        <f>IF($B12&gt;CALCULO!$C$28,
        IF($H12*(PI()*AL$4/100)&lt;AO11, $H12*(PI()*AL$4/100),AO11), NA())</f>
        <v>0</v>
      </c>
      <c r="AO12" s="48">
        <f>IF(ISNUMBER(AN12),
        IF(AM11&lt;=0,AO11,
             IF(AO11-AN12&lt;0,0,AO11-AN12)), AO11)</f>
        <v>0</v>
      </c>
      <c r="AP12" s="48">
        <f t="shared" si="3"/>
        <v>0</v>
      </c>
      <c r="AQ12" s="48">
        <f t="array" ref="AQ12">IF(AM11&lt;=0,
       tensaogrupo(-AM11,AL$4),
  NA())</f>
        <v>28.678489723575417</v>
      </c>
      <c r="AR12" s="48">
        <f>IFERROR(
      (IF(ISNUMBER(AP12),AP12,0)+AQ12) / ($I12*((J12+AQ12+IF(ISNUMBER(AP12),AP12,0))/J12)^CAPA!F$80),
NA())</f>
        <v>0.80830151292363528</v>
      </c>
      <c r="AV12" s="48">
        <f>-CAPA!V$89-$B12</f>
        <v>-2</v>
      </c>
      <c r="AW12" s="48">
        <f>IF($B12&gt;CALCULO!$C$28,
        IF($H12*(PI()*AU$4/100)&lt;AX11, $H12*(PI()*AU$4/100),AX11), NA())</f>
        <v>0</v>
      </c>
      <c r="AX12" s="48">
        <f t="shared" si="7"/>
        <v>0</v>
      </c>
      <c r="AY12" s="48">
        <f t="shared" si="11"/>
        <v>0</v>
      </c>
      <c r="AZ12" s="48">
        <f t="array" ref="AZ12">IF(AV11&lt;=0,
       tensaogrupo(-AV11,AU$4),
  NA())</f>
        <v>16.611431255165765</v>
      </c>
      <c r="BA12" s="3">
        <f>IFERROR(
      (IF(ISNUMBER(AY12),AY12,0)+AZ12) / ($I12*(($J12+AZ12+IF(ISNUMBER(AY12),AY12,0))/$J12)^CAPA!$F$80),
NA())</f>
        <v>0.48546180126210781</v>
      </c>
      <c r="BE12" s="48">
        <f>-CAPA!I$15-$B12</f>
        <v>4</v>
      </c>
      <c r="BF12" s="48">
        <f>IF($B12&gt;CALCULO!$C$28,
        IF($H12*(PI()*BD$4/100)&lt;BG11, $H12*(PI()*BD$4/100),BG11), NA())</f>
        <v>112.264295037805</v>
      </c>
      <c r="BG12" s="48">
        <f t="shared" si="8"/>
        <v>50.942819848779976</v>
      </c>
      <c r="BH12" s="48" t="e">
        <f t="shared" si="9"/>
        <v>#N/A</v>
      </c>
      <c r="BI12" s="48" t="e">
        <f t="array" ref="BI12">IF(BE11&lt;=0,
       tensaogrupo(-BE11,BD$4),
  NA())</f>
        <v>#N/A</v>
      </c>
      <c r="BJ12" s="3" t="e">
        <f>IFERROR(
      (IF(ISNUMBER(BH12),BH12,0)+BI12) / ($I12*(($J12+BI12+IF(ISNUMBER(BH12),BH12,0))/$J12)^CAPA!$F$80),
NA())</f>
        <v>#N/A</v>
      </c>
    </row>
    <row r="13" spans="1:62">
      <c r="A13" s="118" t="str">
        <f xml:space="preserve"> IF(CAPA!F18= ""," ",CAPA!F18)</f>
        <v>D-areia argilosa</v>
      </c>
      <c r="B13" s="2">
        <v>10</v>
      </c>
      <c r="C13" s="48">
        <f>CAPA!D18</f>
        <v>9</v>
      </c>
      <c r="D13" s="48">
        <f>CAPA!E18</f>
        <v>16</v>
      </c>
      <c r="E13" s="119">
        <f>C13*IFERROR(INDEX(Compatibilidade!$G$6:$G$20,MATCH(A13,Compatibilidade!$C$6:$C$20,0)) * INDEX(Compatibilidade!$H$6:$H$20,MATCH(A13,Compatibilidade!$C$6:$C$20,0)),"0")</f>
        <v>14.850000000000001</v>
      </c>
      <c r="F13" s="119"/>
      <c r="G13" s="3">
        <f>IF(B13&gt;CALCULO!$C$28,CALCULO!$C$15,NA())</f>
        <v>0.81681408993334625</v>
      </c>
      <c r="H13" s="3">
        <f>IF(CAPA!$O$60 = "Aoki-Velloso (1975)",CALCULO!S16,
        IF(CAPA!$O$60 = "Décourt-Quaresma (1978)",CALCULO!AG16*CALCULO!AF16,
              IF(CAPA!$O$60 = "Teixeira (1996)",CALCULO!AT16,
                    IF(CAPA!$O$60 = "Média",CALCULO!AT16,0))))</f>
        <v>60.902255639097739</v>
      </c>
      <c r="I13" s="48">
        <f>IFERROR(C13*CALCULO!P16*IF(OR(CALCULO!C$5="C-Pré-moldada",CALCULO!C$5="B-Metálica"),6,IF(CALCULO!C$5="F-Hélice Contínua",4,3)),NA())</f>
        <v>32.4</v>
      </c>
      <c r="J13" s="48">
        <f>J12+IF(-B13&gt;=CALCULO!C$18,D13,D13-CALCULO!C$19)</f>
        <v>160</v>
      </c>
      <c r="K13" s="48"/>
      <c r="L13" s="48">
        <f>-CAPA!I$89-B13</f>
        <v>7</v>
      </c>
      <c r="M13" s="48">
        <f t="shared" si="10"/>
        <v>49.745820514737623</v>
      </c>
      <c r="N13" s="160">
        <f t="shared" si="1"/>
        <v>251.27089742631185</v>
      </c>
      <c r="O13" s="48" t="e">
        <f>IF(OR(L13&gt;=0,N13&lt;0),NA(),4*N13/(PI()*(CALCULO!$C$8*0.01+(-L13-0.5))^2))</f>
        <v>#N/A</v>
      </c>
      <c r="P13" s="48" t="e" cm="1">
        <f t="array" ref="P13">IF(L12&lt;=0,
       tensao(-L12),
  NA())</f>
        <v>#N/A</v>
      </c>
      <c r="Q13" s="48" t="e">
        <f>IFERROR(
      (IF(ISNUMBER(O13),O13,0)+P13) / (I13*((J13+P13+IF(ISNUMBER(O13),O13,0))/J13)^CAPA!F$80),
NA())</f>
        <v>#N/A</v>
      </c>
      <c r="U13" s="48">
        <f>-CAPA!M$89-B13</f>
        <v>2</v>
      </c>
      <c r="V13" s="48">
        <f>IF(B13&gt;CALCULO!$C$28,
        IF($H13*(PI()*$T$4/100)&lt;W12, $H13*(PI()*$T$4/100),W12), NA())</f>
        <v>50.942819848779976</v>
      </c>
      <c r="W13" s="160">
        <f t="shared" si="2"/>
        <v>0</v>
      </c>
      <c r="X13" s="48" t="e">
        <f t="shared" si="0"/>
        <v>#N/A</v>
      </c>
      <c r="Y13" s="48" t="e" cm="1">
        <f t="array" ref="Y13">IF(U12&lt;=0,
       tensaogrupo(-U12,T$4),
  NA())</f>
        <v>#N/A</v>
      </c>
      <c r="Z13" s="48" t="e">
        <f>IFERROR(
      (IF(ISNUMBER(X13),X13,0)+Y13) / ($I13*(($J13+Y13+IF(ISNUMBER(X13),X13,0))/$J13)^CAPA!F$80),
NA())</f>
        <v>#N/A</v>
      </c>
      <c r="AD13" s="48">
        <f>-CAPA!P$89-$B13</f>
        <v>-2</v>
      </c>
      <c r="AE13" s="48">
        <f>IF($B13&gt;CALCULO!$C$28,
        IF($H13*(PI()*AC$4/100)&lt;AF12, $H13*(PI()*AC$4/100),AF12), NA())</f>
        <v>56.755636154940177</v>
      </c>
      <c r="AF13" s="48">
        <f t="shared" si="4"/>
        <v>56.755636154940177</v>
      </c>
      <c r="AG13" s="48">
        <f t="shared" si="5"/>
        <v>13.996515874875534</v>
      </c>
      <c r="AH13" s="48" cm="1">
        <f t="array" ref="AH13">IF(AD12&lt;=0,
       tensaogrupo(-AD12,AC$4),
  NA())</f>
        <v>33.257509496539186</v>
      </c>
      <c r="AI13" s="48">
        <f>IFERROR(
      (IF(ISNUMBER(AG13),AG13,0)+AH13) / ($I13*((J13+AH13+IF(ISNUMBER(AG13),AG13,0))/J13)^CAPA!F$80),
NA())</f>
        <v>1.2814518844861926</v>
      </c>
      <c r="AM13" s="48">
        <f>-CAPA!S$89-$B13</f>
        <v>-2</v>
      </c>
      <c r="AN13" s="48">
        <f>IF($B13&gt;CALCULO!$C$28,
        IF($H13*(PI()*AL$4/100)&lt;AO12, $H13*(PI()*AL$4/100),AO12), NA())</f>
        <v>0</v>
      </c>
      <c r="AO13" s="48">
        <f t="shared" si="6"/>
        <v>0</v>
      </c>
      <c r="AP13" s="48">
        <f t="shared" ref="AP13:AP30" si="12">IF(OR(AM13&gt;=0,AO13&lt;0),NA(),4*AO13/(PI()*(AL$4*0.01+(-AM13-0.5))^2))</f>
        <v>0</v>
      </c>
      <c r="AQ13" s="48">
        <f t="array" ref="AQ13">IF(AM12&lt;=0,
       tensaogrupo(-AM12,AL$4),
  NA())</f>
        <v>18.530945889818081</v>
      </c>
      <c r="AR13" s="48">
        <f>IFERROR(
      (IF(ISNUMBER(AP13),AP13,0)+AQ13) / ($I13*((J13+AQ13+IF(ISNUMBER(AP13),AP13,0))/J13)^CAPA!F$80),
NA())</f>
        <v>0.54144683082701728</v>
      </c>
      <c r="AS13" s="122"/>
      <c r="AV13" s="48">
        <f>-CAPA!V$89-$B13</f>
        <v>-3</v>
      </c>
      <c r="AW13" s="48">
        <f>IF($B13&gt;CALCULO!$C$28,
        IF($H13*(PI()*AU$4/100)&lt;AX12, $H13*(PI()*AU$4/100),AX12), NA())</f>
        <v>0</v>
      </c>
      <c r="AX13" s="48">
        <f t="shared" si="7"/>
        <v>0</v>
      </c>
      <c r="AY13" s="48">
        <f t="shared" si="11"/>
        <v>0</v>
      </c>
      <c r="AZ13" s="48">
        <f t="array" ref="AZ13">IF(AV12&lt;=0,
       tensaogrupo(-AV12,AU$4),
  NA())</f>
        <v>12.044127970016076</v>
      </c>
      <c r="BA13" s="3">
        <f>IFERROR(
      (IF(ISNUMBER(AY13),AY13,0)+AZ13) / ($I13*(($J13+AZ13+IF(ISNUMBER(AY13),AY13,0))/$J13)^CAPA!$F$80),
NA())</f>
        <v>0.35848452697072741</v>
      </c>
      <c r="BE13" s="48">
        <f>-CAPA!I$15-$B13</f>
        <v>3</v>
      </c>
      <c r="BF13" s="48">
        <f>IF($B13&gt;CALCULO!$C$28,
        IF($H13*(PI()*BD$4/100)&lt;BG12, $H13*(PI()*BD$4/100),BG12), NA())</f>
        <v>50.942819848779976</v>
      </c>
      <c r="BG13" s="48">
        <f t="shared" si="8"/>
        <v>0</v>
      </c>
      <c r="BH13" s="48" t="e">
        <f t="shared" si="9"/>
        <v>#N/A</v>
      </c>
      <c r="BI13" s="48" t="e">
        <f t="array" ref="BI13">IF(BE12&lt;=0,
       tensaogrupo(-BE12,BD$4),
  NA())</f>
        <v>#N/A</v>
      </c>
      <c r="BJ13" s="3" t="e">
        <f>IFERROR(
      (IF(ISNUMBER(BH13),BH13,0)+BI13) / ($I13*(($J13+BI13+IF(ISNUMBER(BH13),BH13,0))/$J13)^CAPA!$F$80),
NA())</f>
        <v>#N/A</v>
      </c>
    </row>
    <row r="14" spans="1:62">
      <c r="A14" s="118" t="str">
        <f xml:space="preserve"> IF(CAPA!F19= ""," ",CAPA!F19)</f>
        <v>D-areia argilosa</v>
      </c>
      <c r="B14" s="2">
        <v>11</v>
      </c>
      <c r="C14" s="48">
        <f>CAPA!D19</f>
        <v>7</v>
      </c>
      <c r="D14" s="48">
        <f>CAPA!E19</f>
        <v>19</v>
      </c>
      <c r="E14" s="119">
        <f>C14*IFERROR(INDEX(Compatibilidade!$G$6:$G$20,MATCH(A14,Compatibilidade!$C$6:$C$20,0)) * INDEX(Compatibilidade!$H$6:$H$20,MATCH(A14,Compatibilidade!$C$6:$C$20,0)),"0")</f>
        <v>11.55</v>
      </c>
      <c r="F14" s="119"/>
      <c r="G14" s="3">
        <f>IF(B14&gt;CALCULO!$C$28,CALCULO!$C$15,NA())</f>
        <v>0.81681408993334625</v>
      </c>
      <c r="H14" s="3">
        <f>IF(CAPA!$O$60 = "Aoki-Velloso (1975)",CALCULO!S17,
        IF(CAPA!$O$60 = "Décourt-Quaresma (1978)",CALCULO!AG17*CALCULO!AF17,
              IF(CAPA!$O$60 = "Teixeira (1996)",CALCULO!AT17,
                    IF(CAPA!$O$60 = "Média",CALCULO!AT17,0))))</f>
        <v>47.368421052631575</v>
      </c>
      <c r="I14" s="48">
        <f>IFERROR(C14*CALCULO!P17*IF(OR(CALCULO!C$5="C-Pré-moldada",CALCULO!C$5="B-Metálica"),6,IF(CALCULO!C$5="F-Hélice Contínua",4,3)),NA())</f>
        <v>25.200000000000003</v>
      </c>
      <c r="J14" s="48">
        <f>J13+IF(-B14&gt;=CALCULO!C$18,D14,D14-CALCULO!C$19)</f>
        <v>169</v>
      </c>
      <c r="K14" s="48"/>
      <c r="L14" s="48">
        <f>-CAPA!I$89-B14</f>
        <v>6</v>
      </c>
      <c r="M14" s="48">
        <f t="shared" si="10"/>
        <v>38.69119373368482</v>
      </c>
      <c r="N14" s="160">
        <f t="shared" si="1"/>
        <v>212.57970369262702</v>
      </c>
      <c r="O14" s="48" t="e">
        <f>IF(OR(L14&gt;=0,N14&lt;0),NA(),4*N14/(PI()*(CALCULO!$C$8*0.01+(-L14-0.5))^2))</f>
        <v>#N/A</v>
      </c>
      <c r="P14" s="48" t="e" cm="1">
        <f t="array" ref="P14">IF(L13&lt;=0,
       tensao(-L13),
  NA())</f>
        <v>#N/A</v>
      </c>
      <c r="Q14" s="48" t="e">
        <f>IFERROR(
      (IF(ISNUMBER(O14),O14,0)+P14) / (I14*((J14+P14+IF(ISNUMBER(O14),O14,0))/J14)^CAPA!F$80),
NA())</f>
        <v>#N/A</v>
      </c>
      <c r="U14" s="48">
        <f>-CAPA!M$89-B14</f>
        <v>1</v>
      </c>
      <c r="V14" s="48">
        <f>IF(B14&gt;CALCULO!$C$28,
        IF($H14*(PI()*$T$4/100)&lt;W13, $H14*(PI()*$T$4/100),W13), NA())</f>
        <v>0</v>
      </c>
      <c r="W14" s="160">
        <f t="shared" si="2"/>
        <v>0</v>
      </c>
      <c r="X14" s="48" t="e">
        <f t="shared" si="0"/>
        <v>#N/A</v>
      </c>
      <c r="Y14" s="48" t="e" cm="1">
        <f t="array" ref="Y14">IF(U13&lt;=0,
       tensaogrupo(-U13,T$4),
  NA())</f>
        <v>#N/A</v>
      </c>
      <c r="Z14" s="48" t="e">
        <f>IFERROR(
      (IF(ISNUMBER(X14),X14,0)+Y14) / ($I14*(($J14+Y14+IF(ISNUMBER(X14),X14,0))/$J14)^CAPA!F$80),
NA())</f>
        <v>#N/A</v>
      </c>
      <c r="AD14" s="48">
        <f>-CAPA!P$89-$B14</f>
        <v>-3</v>
      </c>
      <c r="AE14" s="48">
        <f>IF($B14&gt;CALCULO!$C$28,
        IF($H14*(PI()*AC$4/100)&lt;AF13, $H14*(PI()*AC$4/100),AF13), NA())</f>
        <v>56.755636154940177</v>
      </c>
      <c r="AF14" s="48">
        <f t="shared" si="4"/>
        <v>56.755636154940177</v>
      </c>
      <c r="AG14" s="48">
        <f t="shared" si="5"/>
        <v>6.7489346700279036</v>
      </c>
      <c r="AH14" s="48" cm="1">
        <f t="array" ref="AH14">IF(AD13&lt;=0,
       tensaogrupo(-AD13,AC$4),
  NA())</f>
        <v>20.050185696965542</v>
      </c>
      <c r="AI14" s="48">
        <f>IFERROR(
      (IF(ISNUMBER(AG14),AG14,0)+AH14) / ($I14*((J14+AH14+IF(ISNUMBER(AG14),AG14,0))/J14)^CAPA!F$80),
NA())</f>
        <v>0.98800236156009957</v>
      </c>
      <c r="AM14" s="48">
        <f>-CAPA!S$89-$B14</f>
        <v>-3</v>
      </c>
      <c r="AN14" s="48">
        <f>IF($B14&gt;CALCULO!$C$28,
        IF($H14*(PI()*AL$4/100)&lt;AO13, $H14*(PI()*AL$4/100),AO13), NA())</f>
        <v>0</v>
      </c>
      <c r="AO14" s="48">
        <f t="shared" si="6"/>
        <v>0</v>
      </c>
      <c r="AP14" s="48">
        <f t="shared" si="12"/>
        <v>0</v>
      </c>
      <c r="AQ14" s="48">
        <f t="array" ref="AQ14">IF(AM13&lt;=0,
       tensaogrupo(-AM13,AL$4),
  NA())</f>
        <v>13.107792317060323</v>
      </c>
      <c r="AR14" s="48">
        <f>IFERROR(
      (IF(ISNUMBER(AP14),AP14,0)+AQ14) / ($I14*((J14+AQ14+IF(ISNUMBER(AP14),AP14,0))/J14)^CAPA!F$80),
NA())</f>
        <v>0.50108118809213731</v>
      </c>
      <c r="AS14" s="122"/>
      <c r="AV14" s="48">
        <f>-CAPA!V$89-$B14</f>
        <v>-4</v>
      </c>
      <c r="AW14" s="48">
        <f>IF($B14&gt;CALCULO!$C$28,
        IF($H14*(PI()*AU$4/100)&lt;AX13, $H14*(PI()*AU$4/100),AX13), NA())</f>
        <v>0</v>
      </c>
      <c r="AX14" s="48">
        <f t="shared" si="7"/>
        <v>0</v>
      </c>
      <c r="AY14" s="48">
        <f t="shared" si="11"/>
        <v>0</v>
      </c>
      <c r="AZ14" s="48">
        <f t="array" ref="AZ14">IF(AV13&lt;=0,
       tensaogrupo(-AV13,AU$4),
  NA())</f>
        <v>9.1740571560621351</v>
      </c>
      <c r="BA14" s="3">
        <f>IFERROR(
      (IF(ISNUMBER(AY14),AY14,0)+AZ14) / ($I14*(($J14+AZ14+IF(ISNUMBER(AY14),AY14,0))/$J14)^CAPA!$F$80),
NA())</f>
        <v>0.35455369716182894</v>
      </c>
      <c r="BE14" s="48">
        <f>-CAPA!I$15-$B14</f>
        <v>2</v>
      </c>
      <c r="BF14" s="48">
        <f>IF($B14&gt;CALCULO!$C$28,
        IF($H14*(PI()*BD$4/100)&lt;BG13, $H14*(PI()*BD$4/100),BG13), NA())</f>
        <v>0</v>
      </c>
      <c r="BG14" s="48">
        <f t="shared" si="8"/>
        <v>0</v>
      </c>
      <c r="BH14" s="48" t="e">
        <f t="shared" si="9"/>
        <v>#N/A</v>
      </c>
      <c r="BI14" s="48" t="e">
        <f t="array" ref="BI14">IF(BE13&lt;=0,
       tensaogrupo(-BE13,BD$4),
  NA())</f>
        <v>#N/A</v>
      </c>
      <c r="BJ14" s="3" t="e">
        <f>IFERROR(
      (IF(ISNUMBER(BH14),BH14,0)+BI14) / ($I14*(($J14+BI14+IF(ISNUMBER(BH14),BH14,0))/$J14)^CAPA!$F$80),
NA())</f>
        <v>#N/A</v>
      </c>
    </row>
    <row r="15" spans="1:62">
      <c r="A15" s="118" t="str">
        <f xml:space="preserve"> IF(CAPA!F20= ""," ",CAPA!F20)</f>
        <v>D-areia argilosa</v>
      </c>
      <c r="B15" s="2">
        <v>12</v>
      </c>
      <c r="C15" s="48">
        <f>CAPA!D20</f>
        <v>7</v>
      </c>
      <c r="D15" s="48">
        <f>CAPA!E20</f>
        <v>19</v>
      </c>
      <c r="E15" s="119">
        <f>C15*IFERROR(INDEX(Compatibilidade!$G$6:$G$20,MATCH(A15,Compatibilidade!$C$6:$C$20,0)) * INDEX(Compatibilidade!$H$6:$H$20,MATCH(A15,Compatibilidade!$C$6:$C$20,0)),"0")</f>
        <v>11.55</v>
      </c>
      <c r="F15" s="119"/>
      <c r="G15" s="3">
        <f>IF(B15&gt;CALCULO!$C$28,CALCULO!$C$15,NA())</f>
        <v>0.81681408993334625</v>
      </c>
      <c r="H15" s="3">
        <f>IF(CAPA!$O$60 = "Aoki-Velloso (1975)",CALCULO!S18,
        IF(CAPA!$O$60 = "Décourt-Quaresma (1978)",CALCULO!AG18*CALCULO!AF18,
              IF(CAPA!$O$60 = "Teixeira (1996)",CALCULO!AT18,
                    IF(CAPA!$O$60 = "Média",CALCULO!AT18,0))))</f>
        <v>47.368421052631575</v>
      </c>
      <c r="I15" s="48">
        <f>IFERROR(C15*CALCULO!P18*IF(OR(CALCULO!C$5="C-Pré-moldada",CALCULO!C$5="B-Metálica"),6,IF(CALCULO!C$5="F-Hélice Contínua",4,3)),NA())</f>
        <v>25.200000000000003</v>
      </c>
      <c r="J15" s="48">
        <f>J14+IF(-B15&gt;=CALCULO!C$18,D15,D15-CALCULO!C$19)</f>
        <v>178</v>
      </c>
      <c r="K15" s="48"/>
      <c r="L15" s="48">
        <f>-CAPA!I$89-B15</f>
        <v>5</v>
      </c>
      <c r="M15" s="48">
        <f>IFERROR(IF(N14&lt;H15*G15,N14,H15*G15),NA())</f>
        <v>38.69119373368482</v>
      </c>
      <c r="N15" s="160">
        <f t="shared" si="1"/>
        <v>173.88850995894219</v>
      </c>
      <c r="O15" s="48" t="e">
        <f>IF(OR(L15&gt;=0,N15&lt;0),NA(),4*N15/(PI()*(CALCULO!$C$8*0.01+(-L15-0.5))^2))</f>
        <v>#N/A</v>
      </c>
      <c r="P15" s="48" t="e" cm="1">
        <f t="array" ref="P15">IF(L14&lt;=0,
       tensao(-L14),
  NA())</f>
        <v>#N/A</v>
      </c>
      <c r="Q15" s="48" t="e">
        <f>IFERROR(
      (IF(ISNUMBER(O15),O15,0)+P15) / (I15*((J15+P15+IF(ISNUMBER(O15),O15,0))/J15)^CAPA!F$80),
NA())</f>
        <v>#N/A</v>
      </c>
      <c r="U15" s="48">
        <f>-CAPA!M$89-B15</f>
        <v>0</v>
      </c>
      <c r="V15" s="48">
        <f>IF(B15&gt;CALCULO!$C$28,
        IF($H15*(PI()*$T$4/100)&lt;W14, $H15*(PI()*$T$4/100),W14), NA())</f>
        <v>0</v>
      </c>
      <c r="W15" s="160">
        <f t="shared" si="2"/>
        <v>0</v>
      </c>
      <c r="X15" s="48" t="e">
        <f t="shared" si="0"/>
        <v>#N/A</v>
      </c>
      <c r="Y15" s="48" t="e" cm="1">
        <f t="array" ref="Y15">IF(U14&lt;=0,
       tensaogrupo(-U14,T$4),
  NA())</f>
        <v>#N/A</v>
      </c>
      <c r="Z15" s="48" t="e">
        <f>IFERROR(
      (IF(ISNUMBER(X15),X15,0)+Y15) / ($I15*(($J15+Y15+IF(ISNUMBER(X15),X15,0))/$J15)^CAPA!F$80),
NA())</f>
        <v>#N/A</v>
      </c>
      <c r="AD15" s="48">
        <f>-CAPA!P$89-$B15</f>
        <v>-4</v>
      </c>
      <c r="AE15" s="48">
        <f>IF($B15&gt;CALCULO!$C$28,
        IF($H15*(PI()*AC$4/100)&lt;AF14, $H15*(PI()*AC$4/100),AF14), NA())</f>
        <v>56.755636154940177</v>
      </c>
      <c r="AF15" s="48">
        <f t="shared" si="4"/>
        <v>56.755636154940177</v>
      </c>
      <c r="AG15" s="48">
        <f t="shared" si="5"/>
        <v>3.9592482989048321</v>
      </c>
      <c r="AH15" s="48" cm="1">
        <f t="array" ref="AH15">IF(AD14&lt;=0,
       tensaogrupo(-AD14,AC$4),
  NA())</f>
        <v>13.602303093465093</v>
      </c>
      <c r="AI15" s="48">
        <f>IFERROR(
      (IF(ISNUMBER(AG15),AG15,0)+AH15) / ($I15*((J15+AH15+IF(ISNUMBER(AG15),AG15,0))/J15)^CAPA!F$80),
NA())</f>
        <v>0.66486060797905155</v>
      </c>
      <c r="AM15" s="48">
        <f>-CAPA!S$89-$B15</f>
        <v>-4</v>
      </c>
      <c r="AN15" s="48">
        <f>IF($B15&gt;CALCULO!$C$28,
        IF($H15*(PI()*AL$4/100)&lt;AO14, $H15*(PI()*AL$4/100),AO14), NA())</f>
        <v>0</v>
      </c>
      <c r="AO15" s="48">
        <f t="shared" si="6"/>
        <v>0</v>
      </c>
      <c r="AP15" s="48">
        <f t="shared" si="12"/>
        <v>0</v>
      </c>
      <c r="AQ15" s="48">
        <f t="array" ref="AQ15">IF(AM14&lt;=0,
       tensaogrupo(-AM14,AL$4),
  NA())</f>
        <v>9.8219083588891287</v>
      </c>
      <c r="AR15" s="48">
        <f>IFERROR(
      (IF(ISNUMBER(AP15),AP15,0)+AQ15) / ($I15*((J15+AQ15+IF(ISNUMBER(AP15),AP15,0))/J15)^CAPA!F$80),
NA())</f>
        <v>0.37943047863326806</v>
      </c>
      <c r="AS15" s="122"/>
      <c r="AV15" s="48">
        <f>-CAPA!V$89-$B15</f>
        <v>-5</v>
      </c>
      <c r="AW15" s="48">
        <f>IF($B15&gt;CALCULO!$C$28,
        IF($H15*(PI()*AU$4/100)&lt;AX14, $H15*(PI()*AU$4/100),AX14), NA())</f>
        <v>0</v>
      </c>
      <c r="AX15" s="48">
        <f t="shared" si="7"/>
        <v>0</v>
      </c>
      <c r="AY15" s="48">
        <f t="shared" si="11"/>
        <v>0</v>
      </c>
      <c r="AZ15" s="48">
        <f t="array" ref="AZ15">IF(AV14&lt;=0,
       tensaogrupo(-AV14,AU$4),
  NA())</f>
        <v>7.2400674890648631</v>
      </c>
      <c r="BA15" s="3">
        <f>IFERROR(
      (IF(ISNUMBER(AY15),AY15,0)+AZ15) / ($I15*(($J15+AZ15+IF(ISNUMBER(AY15),AY15,0))/$J15)^CAPA!$F$80),
NA())</f>
        <v>0.28163369275276556</v>
      </c>
      <c r="BE15" s="48">
        <f>-CAPA!I$15-$B15</f>
        <v>1</v>
      </c>
      <c r="BF15" s="48">
        <f>IF($B15&gt;CALCULO!$C$28,
        IF($H15*(PI()*BD$4/100)&lt;BG14, $H15*(PI()*BD$4/100),BG14), NA())</f>
        <v>0</v>
      </c>
      <c r="BG15" s="48">
        <f t="shared" si="8"/>
        <v>0</v>
      </c>
      <c r="BH15" s="48" t="e">
        <f t="shared" si="9"/>
        <v>#N/A</v>
      </c>
      <c r="BI15" s="48" t="e">
        <f t="array" ref="BI15">IF(BE14&lt;=0,
       tensaogrupo(-BE14,BD$4),
  NA())</f>
        <v>#N/A</v>
      </c>
      <c r="BJ15" s="3" t="e">
        <f>IFERROR(
      (IF(ISNUMBER(BH15),BH15,0)+BI15) / ($I15*(($J15+BI15+IF(ISNUMBER(BH15),BH15,0))/$J15)^CAPA!$F$80),
NA())</f>
        <v>#N/A</v>
      </c>
    </row>
    <row r="16" spans="1:62">
      <c r="A16" s="118" t="str">
        <f xml:space="preserve"> IF(CAPA!F21= ""," ",CAPA!F21)</f>
        <v>D-areia argilosa</v>
      </c>
      <c r="B16" s="2">
        <v>13</v>
      </c>
      <c r="C16" s="48">
        <f>CAPA!D21</f>
        <v>9</v>
      </c>
      <c r="D16" s="48">
        <f>CAPA!E21</f>
        <v>20</v>
      </c>
      <c r="E16" s="119">
        <f>C16*IFERROR(INDEX(Compatibilidade!$G$6:$G$20,MATCH(A16,Compatibilidade!$C$6:$C$20,0)) * INDEX(Compatibilidade!$H$6:$H$20,MATCH(A16,Compatibilidade!$C$6:$C$20,0)),"0")</f>
        <v>14.850000000000001</v>
      </c>
      <c r="F16" s="119"/>
      <c r="G16" s="3">
        <f>IF(B16&gt;CALCULO!$C$28,CALCULO!$C$15,NA())</f>
        <v>0.81681408993334625</v>
      </c>
      <c r="H16" s="3">
        <f>IF(CAPA!$O$60 = "Aoki-Velloso (1975)",CALCULO!S19,
        IF(CAPA!$O$60 = "Décourt-Quaresma (1978)",CALCULO!AG19*CALCULO!AF19,
              IF(CAPA!$O$60 = "Teixeira (1996)",CALCULO!AT19,
                    IF(CAPA!$O$60 = "Média",CALCULO!AT19,0))))</f>
        <v>60.902255639097739</v>
      </c>
      <c r="I16" s="48">
        <f>IFERROR(C16*CALCULO!P19*IF(OR(CALCULO!C$5="C-Pré-moldada",CALCULO!C$5="B-Metálica"),6,IF(CALCULO!C$5="F-Hélice Contínua",4,3)),NA())</f>
        <v>32.4</v>
      </c>
      <c r="J16" s="48">
        <f>J15+IF(-B16&gt;=CALCULO!C$18,D16,D16-CALCULO!C$19)</f>
        <v>188</v>
      </c>
      <c r="K16" s="48"/>
      <c r="L16" s="48">
        <f>-CAPA!I$89-B16</f>
        <v>4</v>
      </c>
      <c r="M16" s="48">
        <f>IFERROR(IF(N15&lt;H16*G16,N15,H16*G16),NA())</f>
        <v>49.745820514737623</v>
      </c>
      <c r="N16" s="160">
        <f t="shared" si="1"/>
        <v>124.14268944420456</v>
      </c>
      <c r="O16" s="48" t="e">
        <f>IF(OR(L16&gt;=0,N16&lt;0),NA(),4*N16/(PI()*(CALCULO!$C$8*0.01+(-L16-0.5))^2))</f>
        <v>#N/A</v>
      </c>
      <c r="P16" s="48" t="e" cm="1">
        <f t="array" ref="P16">IF(L15&lt;=0,
       tensao(-L15),
  NA())</f>
        <v>#N/A</v>
      </c>
      <c r="Q16" s="48" t="e">
        <f>IFERROR(
      (IF(ISNUMBER(O16),O16,0)+P16) / (I16*((J16+P16+IF(ISNUMBER(O16),O16,0))/J16)^CAPA!F$80),
NA())</f>
        <v>#N/A</v>
      </c>
      <c r="U16" s="48">
        <f>-CAPA!M$89-B16</f>
        <v>-1</v>
      </c>
      <c r="V16" s="48">
        <f>IF(B16&gt;CALCULO!$C$28,
        IF($H16*(PI()*$T$4/100)&lt;W15, $H16*(PI()*$T$4/100),W15), NA())</f>
        <v>0</v>
      </c>
      <c r="W16" s="160">
        <f t="shared" si="2"/>
        <v>0</v>
      </c>
      <c r="X16" s="48">
        <f t="shared" si="0"/>
        <v>0</v>
      </c>
      <c r="Y16" s="48" cm="1">
        <f t="array" ref="Y16">IF(U15&lt;=0,
       tensaogrupo(-U15,T$4),
  NA())</f>
        <v>19.790162938694991</v>
      </c>
      <c r="Z16" s="48">
        <f>IFERROR(
      (IF(ISNUMBER(X16),X16,0)+Y16) / ($I16*(($J16+Y16+IF(ISNUMBER(X16),X16,0))/$J16)^CAPA!F$80),
NA())</f>
        <v>0.58099285634775677</v>
      </c>
      <c r="AD16" s="48">
        <f>-CAPA!P$89-$B16</f>
        <v>-5</v>
      </c>
      <c r="AE16" s="48">
        <f>IF($B16&gt;CALCULO!$C$28,
        IF($H16*(PI()*AC$4/100)&lt;AF15, $H16*(PI()*AC$4/100),AF15), NA())</f>
        <v>56.755636154940177</v>
      </c>
      <c r="AF16" s="48">
        <f t="shared" si="4"/>
        <v>56.755636154940177</v>
      </c>
      <c r="AG16" s="48">
        <f t="shared" si="5"/>
        <v>2.599756951687775</v>
      </c>
      <c r="AH16" s="48" cm="1">
        <f t="array" ref="AH16">IF(AD15&lt;=0,
       tensaogrupo(-AD15,AC$4),
  NA())</f>
        <v>9.9127429274808172</v>
      </c>
      <c r="AI16" s="48">
        <f>IFERROR(
      (IF(ISNUMBER(AG16),AG16,0)+AH16) / ($I16*((J16+AH16+IF(ISNUMBER(AG16),AG16,0))/J16)^CAPA!F$80),
NA())</f>
        <v>0.37394460759591369</v>
      </c>
      <c r="AJ16" s="123"/>
      <c r="AK16" s="123"/>
      <c r="AL16" s="123"/>
      <c r="AM16" s="48">
        <f>-CAPA!S$89-$B16</f>
        <v>-5</v>
      </c>
      <c r="AN16" s="48">
        <f>IF($B16&gt;CALCULO!$C$28,
        IF($H16*(PI()*AL$4/100)&lt;AO15, $H16*(PI()*AL$4/100),AO15), NA())</f>
        <v>0</v>
      </c>
      <c r="AO16" s="48">
        <f t="shared" si="6"/>
        <v>0</v>
      </c>
      <c r="AP16" s="48">
        <f t="shared" si="12"/>
        <v>0</v>
      </c>
      <c r="AQ16" s="48">
        <f t="array" ref="AQ16">IF(AM15&lt;=0,
       tensaogrupo(-AM15,AL$4),
  NA())</f>
        <v>7.662126477315768</v>
      </c>
      <c r="AR16" s="48">
        <f>IFERROR(
      (IF(ISNUMBER(AP16),AP16,0)+AQ16) / ($I16*((J16+AQ16+IF(ISNUMBER(AP16),AP16,0))/J16)^CAPA!F$80),
NA())</f>
        <v>0.23180876135387163</v>
      </c>
      <c r="AS16" s="122"/>
      <c r="AV16" s="48">
        <f>-CAPA!V$89-$B16</f>
        <v>-6</v>
      </c>
      <c r="AW16" s="48">
        <f>IF($B16&gt;CALCULO!$C$28,
        IF($H16*(PI()*AU$4/100)&lt;AX15, $H16*(PI()*AU$4/100),AX15), NA())</f>
        <v>0</v>
      </c>
      <c r="AX16" s="48">
        <f t="shared" si="7"/>
        <v>0</v>
      </c>
      <c r="AY16" s="48">
        <f t="shared" si="11"/>
        <v>0</v>
      </c>
      <c r="AZ16" s="48">
        <f t="array" ref="AZ16">IF(AV15&lt;=0,
       tensaogrupo(-AV15,AU$4),
  NA())</f>
        <v>5.8692984448815837</v>
      </c>
      <c r="BA16" s="3">
        <f>IFERROR(
      (IF(ISNUMBER(AY16),AY16,0)+AZ16) / ($I16*(($J16+AZ16+IF(ISNUMBER(AY16),AY16,0))/$J16)^CAPA!$F$80),
NA())</f>
        <v>0.17838798025357153</v>
      </c>
      <c r="BE16" s="48">
        <f>-CAPA!I$15-$B16</f>
        <v>0</v>
      </c>
      <c r="BF16" s="48">
        <f>IF($B16&gt;CALCULO!$C$28,
        IF($H16*(PI()*BD$4/100)&lt;BG15, $H16*(PI()*BD$4/100),BG15), NA())</f>
        <v>0</v>
      </c>
      <c r="BG16" s="48">
        <f t="shared" si="8"/>
        <v>0</v>
      </c>
      <c r="BH16" s="48" t="e">
        <f t="shared" si="9"/>
        <v>#N/A</v>
      </c>
      <c r="BI16" s="48" t="e">
        <f t="array" ref="BI16">IF(BE15&lt;=0,
       tensaogrupo(-BE15,BD$4),
  NA())</f>
        <v>#N/A</v>
      </c>
      <c r="BJ16" s="3" t="e">
        <f>IFERROR(
      (IF(ISNUMBER(BH16),BH16,0)+BI16) / ($I16*(($J16+BI16+IF(ISNUMBER(BH16),BH16,0))/$J16)^CAPA!$F$80),
NA())</f>
        <v>#N/A</v>
      </c>
    </row>
    <row r="17" spans="1:62">
      <c r="A17" s="118" t="str">
        <f xml:space="preserve"> IF(CAPA!F22= ""," ",CAPA!F22)</f>
        <v>D-areia argilosa</v>
      </c>
      <c r="B17" s="2">
        <v>14</v>
      </c>
      <c r="C17" s="48">
        <f>CAPA!D22</f>
        <v>14</v>
      </c>
      <c r="D17" s="48">
        <f>CAPA!E22</f>
        <v>20</v>
      </c>
      <c r="E17" s="119">
        <f>C17*IFERROR(INDEX(Compatibilidade!$G$6:$G$20,MATCH(A17,Compatibilidade!$C$6:$C$20,0)) * INDEX(Compatibilidade!$H$6:$H$20,MATCH(A17,Compatibilidade!$C$6:$C$20,0)),"0")</f>
        <v>23.1</v>
      </c>
      <c r="F17" s="119"/>
      <c r="G17" s="3">
        <f>IF(B17&gt;CALCULO!$C$28,CALCULO!$C$15,NA())</f>
        <v>0.81681408993334625</v>
      </c>
      <c r="H17" s="3">
        <f>IF(CAPA!$O$60 = "Aoki-Velloso (1975)",CALCULO!S20,
        IF(CAPA!$O$60 = "Décourt-Quaresma (1978)",CALCULO!AG20*CALCULO!AF20,
              IF(CAPA!$O$60 = "Teixeira (1996)",CALCULO!AT20,
                    IF(CAPA!$O$60 = "Média",CALCULO!AT20,0))))</f>
        <v>94.73684210526315</v>
      </c>
      <c r="I17" s="48">
        <f>IFERROR(C17*CALCULO!P20*IF(OR(CALCULO!C$5="C-Pré-moldada",CALCULO!C$5="B-Metálica"),6,IF(CALCULO!C$5="F-Hélice Contínua",4,3)),NA())</f>
        <v>50.400000000000006</v>
      </c>
      <c r="J17" s="48">
        <f>J16+IF(-B17&gt;=CALCULO!C$18,D17,D17-CALCULO!C$19)</f>
        <v>198</v>
      </c>
      <c r="K17" s="48"/>
      <c r="L17" s="48">
        <f>-CAPA!I$89-B17</f>
        <v>3</v>
      </c>
      <c r="M17" s="48">
        <f>IFERROR(IF(N16&lt;H17*G17,N16,H17*G17),NA())</f>
        <v>77.382387467369639</v>
      </c>
      <c r="N17" s="160">
        <f t="shared" si="1"/>
        <v>46.760301976834924</v>
      </c>
      <c r="O17" s="48" t="e">
        <f>IF(OR(L17&gt;=0,N17&lt;0),NA(),4*N17/(PI()*(CALCULO!$C$8*0.01+(-L17-0.5))^2))</f>
        <v>#N/A</v>
      </c>
      <c r="P17" s="48" t="e" cm="1">
        <f t="array" ref="P17">IF(L16&lt;=0,
       tensao(-L16),
  NA())</f>
        <v>#N/A</v>
      </c>
      <c r="Q17" s="3" t="e">
        <f>IFERROR(
      (IF(ISNUMBER(O17),O17,0)+P17) / (I17*((J17+P17+IF(ISNUMBER(O17),O17,0))/J17)^CAPA!F$80),
NA())</f>
        <v>#N/A</v>
      </c>
      <c r="U17" s="48">
        <f>-CAPA!M$89-B17</f>
        <v>-2</v>
      </c>
      <c r="V17" s="48">
        <f>IF(B17&gt;CALCULO!$C$28,
        IF($H17*(PI()*$T$4/100)&lt;W16, $H17*(PI()*$T$4/100),W16), NA())</f>
        <v>0</v>
      </c>
      <c r="W17" s="160">
        <f t="shared" si="2"/>
        <v>0</v>
      </c>
      <c r="X17" s="48">
        <f t="shared" si="0"/>
        <v>0</v>
      </c>
      <c r="Y17" s="48" cm="1">
        <f t="array" ref="Y17">IF(U16&lt;=0,
       tensaogrupo(-U16,T$4),
  NA())</f>
        <v>13.69911004452811</v>
      </c>
      <c r="Z17" s="48">
        <f>IFERROR(
      (IF(ISNUMBER(X17),X17,0)+Y17) / ($I17*(($J17+Y17+IF(ISNUMBER(X17),X17,0))/$J17)^CAPA!F$80),
NA())</f>
        <v>0.26286629071695544</v>
      </c>
      <c r="AA17" s="48"/>
      <c r="AB17" s="48"/>
      <c r="AC17" s="48"/>
      <c r="AD17" s="48">
        <f>-CAPA!P$89-$B17</f>
        <v>-6</v>
      </c>
      <c r="AE17" s="48">
        <f>IF($B17&gt;CALCULO!$C$28,
        IF($H17*(PI()*AC$4/100)&lt;AF16, $H17*(PI()*AC$4/100),AF16), NA())</f>
        <v>56.755636154940177</v>
      </c>
      <c r="AF17" s="48">
        <f>IF(ISNUMBER(AE17),
        IF(AD16&lt;=0,AF16,
             IF(AF16-AE17&lt;0,0,AF16-AE17)), AF16)</f>
        <v>56.755636154940177</v>
      </c>
      <c r="AG17" s="48">
        <f t="shared" si="5"/>
        <v>1.836864504919802</v>
      </c>
      <c r="AH17" s="48" cm="1">
        <f t="array" ref="AH17">IF(AD16&lt;=0,
       tensaogrupo(-AD16,AC$4),
  NA())</f>
        <v>7.581286739345777</v>
      </c>
      <c r="AI17" s="48">
        <f>IFERROR(
      (IF(ISNUMBER(AG17),AG17,0)+AH17) / ($I17*((J17+AH17+IF(ISNUMBER(AG17),AG17,0))/J17)^CAPA!F$80),
NA())</f>
        <v>0.18257627392018569</v>
      </c>
      <c r="AJ17" s="123"/>
      <c r="AK17" s="123"/>
      <c r="AL17" s="123"/>
      <c r="AM17" s="48">
        <f>-CAPA!S$89-$B17</f>
        <v>-6</v>
      </c>
      <c r="AN17" s="48">
        <f>IF($B17&gt;CALCULO!$C$28,
        IF($H17*(PI()*AL$4/100)&lt;AO16, $H17*(PI()*AL$4/100),AO16), NA())</f>
        <v>0</v>
      </c>
      <c r="AO17" s="48">
        <f t="shared" si="6"/>
        <v>0</v>
      </c>
      <c r="AP17" s="48">
        <f t="shared" si="12"/>
        <v>0</v>
      </c>
      <c r="AQ17" s="48">
        <f t="array" ref="AQ17">IF(AM16&lt;=0,
       tensaogrupo(-AM16,AL$4),
  NA())</f>
        <v>6.1585603908767714</v>
      </c>
      <c r="AR17" s="48">
        <f>IFERROR(
      (IF(ISNUMBER(AP17),AP17,0)+AQ17) / ($I17*((J17+AQ17+IF(ISNUMBER(AP17),AP17,0))/J17)^CAPA!F$80),
NA())</f>
        <v>0.12033652493609961</v>
      </c>
      <c r="AS17" s="122"/>
      <c r="AV17" s="48">
        <f>-CAPA!V$89-$B17</f>
        <v>-7</v>
      </c>
      <c r="AW17" s="48">
        <f>IF($B17&gt;CALCULO!$C$28,
        IF($H17*(PI()*AU$4/100)&lt;AX16, $H17*(PI()*AU$4/100),AX16), NA())</f>
        <v>0</v>
      </c>
      <c r="AX17" s="48">
        <f t="shared" si="7"/>
        <v>0</v>
      </c>
      <c r="AY17" s="48">
        <f>IF(OR(AV17&gt;=0,AX17&lt;0),NA(),4*AX17/(PI()*(AU$4*0.01+(-AV17-0.5))^2))</f>
        <v>0</v>
      </c>
      <c r="AZ17" s="48">
        <f t="array" ref="AZ17">IF(AV16&lt;=0,
       tensaogrupo(-AV16,AU$4),
  NA())</f>
        <v>4.8596520793872653</v>
      </c>
      <c r="BA17" s="3">
        <f>IFERROR(
      (IF(ISNUMBER(AY17),AY17,0)+AZ17) / ($I17*(($J17+AZ17+IF(ISNUMBER(AY17),AY17,0))/$J17)^CAPA!$F$80),
NA())</f>
        <v>9.525974138767225E-2</v>
      </c>
      <c r="BB17" s="3"/>
      <c r="BE17" s="48">
        <f>-CAPA!I$15-$B17</f>
        <v>-1</v>
      </c>
      <c r="BF17" s="48">
        <f>IF($B17&gt;CALCULO!$C$28,
        IF($H17*(PI()*BD$4/100)&lt;BG16, $H17*(PI()*BD$4/100),BG16), NA())</f>
        <v>0</v>
      </c>
      <c r="BG17" s="48">
        <f t="shared" si="8"/>
        <v>0</v>
      </c>
      <c r="BH17" s="3">
        <f>IF(OR(BE17&gt;=0,BG17&lt;0),NA(),4*BG17/(PI()*(BD$4*0.01+(-BE17-0.5))^2))</f>
        <v>0</v>
      </c>
      <c r="BI17" s="3">
        <f t="array" ref="BI17">IF(BE16&lt;=0,
       tensaogrupo(-BE16,BD$4),
  NA())</f>
        <v>13.69911004452811</v>
      </c>
      <c r="BJ17" s="3">
        <f>IFERROR(
      (IF(ISNUMBER(BH17),BH17,0)+BI17) / ($I17*(($J17+BI17+IF(ISNUMBER(BH17),BH17,0))/$J17)^CAPA!$F$80),
NA())</f>
        <v>0.26286629071695544</v>
      </c>
    </row>
    <row r="18" spans="1:62">
      <c r="A18" s="118" t="str">
        <f xml:space="preserve"> IF(CAPA!F23= ""," ",CAPA!F23)</f>
        <v>D-areia argilosa</v>
      </c>
      <c r="B18" s="2">
        <v>15</v>
      </c>
      <c r="C18" s="48">
        <f>CAPA!D23</f>
        <v>16</v>
      </c>
      <c r="D18" s="48">
        <f>CAPA!E23</f>
        <v>20</v>
      </c>
      <c r="E18" s="119">
        <f>C18*IFERROR(INDEX(Compatibilidade!$G$6:$G$20,MATCH(A18,Compatibilidade!$C$6:$C$20,0)) * INDEX(Compatibilidade!$H$6:$H$20,MATCH(A18,Compatibilidade!$C$6:$C$20,0)),"0")</f>
        <v>26.400000000000002</v>
      </c>
      <c r="F18" s="119"/>
      <c r="G18" s="3">
        <f>IF(B18&gt;CALCULO!$C$28,CALCULO!$C$15,NA())</f>
        <v>0.81681408993334625</v>
      </c>
      <c r="H18" s="3">
        <f>IF(CAPA!$O$60 = "Aoki-Velloso (1975)",CALCULO!S21,
        IF(CAPA!$O$60 = "Décourt-Quaresma (1978)",CALCULO!AG21*CALCULO!AF21,
              IF(CAPA!$O$60 = "Teixeira (1996)",CALCULO!AT21,
                    IF(CAPA!$O$60 = "Média",CALCULO!AT21,0))))</f>
        <v>108.27067669172932</v>
      </c>
      <c r="I18" s="48">
        <f>IFERROR(C18*CALCULO!P21*IF(OR(CALCULO!C$5="C-Pré-moldada",CALCULO!C$5="B-Metálica"),6,IF(CALCULO!C$5="F-Hélice Contínua",4,3)),NA())</f>
        <v>57.599999999999994</v>
      </c>
      <c r="J18" s="48">
        <f>J17+IF(-B18&gt;=CALCULO!C$18,D18,D18-CALCULO!C$19)</f>
        <v>208</v>
      </c>
      <c r="K18" s="48"/>
      <c r="L18" s="48">
        <f>-CAPA!I$89-B18</f>
        <v>2</v>
      </c>
      <c r="M18" s="48">
        <f>IFERROR(IF(N17&lt;H18*G18,N17,H18*G18),NA())</f>
        <v>46.760301976834924</v>
      </c>
      <c r="N18" s="160">
        <f t="shared" si="1"/>
        <v>0</v>
      </c>
      <c r="O18" s="48" t="e">
        <f>IF(OR(L18&gt;=0,N18&lt;0),NA(),4*N18/(PI()*(CALCULO!$C$8*0.01+(-L18-0.5))^2))</f>
        <v>#N/A</v>
      </c>
      <c r="P18" s="48" t="e" cm="1">
        <f t="array" ref="P18">IF(L17&lt;=0,
       tensao(-L17),
  NA())</f>
        <v>#N/A</v>
      </c>
      <c r="Q18" s="3" t="e">
        <f>IFERROR(
      (IF(ISNUMBER(O18),O18,0)+P18) / (I18*((J18+P18+IF(ISNUMBER(O18),O18,0))/J18)^CAPA!F$80),
NA())</f>
        <v>#N/A</v>
      </c>
      <c r="U18" s="48">
        <f>-CAPA!M$89-B18</f>
        <v>-3</v>
      </c>
      <c r="V18" s="48">
        <f>IF(B18&gt;CALCULO!$C$28,
        IF($H18*(PI()*$T$4/100)&lt;W17, $H18*(PI()*$T$4/100),W17), NA())</f>
        <v>0</v>
      </c>
      <c r="W18" s="160">
        <f t="shared" si="2"/>
        <v>0</v>
      </c>
      <c r="X18" s="48">
        <f t="shared" si="0"/>
        <v>0</v>
      </c>
      <c r="Y18" s="48" cm="1">
        <f t="array" ref="Y18">IF(U17&lt;=0,
       tensaogrupo(-U17,T$4),
  NA())</f>
        <v>10.126109589726159</v>
      </c>
      <c r="Z18" s="48">
        <f>IFERROR(
      (IF(ISNUMBER(X18),X18,0)+Y18) / ($I18*(($J18+Y18+IF(ISNUMBER(X18),X18,0))/$J18)^CAPA!F$80),
NA())</f>
        <v>0.17167141250674206</v>
      </c>
      <c r="AA18" s="48"/>
      <c r="AB18" s="48"/>
      <c r="AC18" s="48"/>
      <c r="AD18" s="48">
        <f>-CAPA!P$89-$B18</f>
        <v>-7</v>
      </c>
      <c r="AE18" s="48">
        <f>IF($B18&gt;CALCULO!$C$28,
        IF($H18*(PI()*AC$4/100)&lt;AF17, $H18*(PI()*AC$4/100),AF17), NA())</f>
        <v>56.755636154940177</v>
      </c>
      <c r="AF18" s="48">
        <f t="shared" si="4"/>
        <v>56.755636154940177</v>
      </c>
      <c r="AG18" s="48">
        <f t="shared" si="5"/>
        <v>1.3664243468034902</v>
      </c>
      <c r="AH18" s="48" cm="1">
        <f t="array" ref="AH18">IF(AD17&lt;=0,
       tensaogrupo(-AD17,AC$4),
  NA())</f>
        <v>6.004143828109374</v>
      </c>
      <c r="AI18" s="48">
        <f>IFERROR(
      (IF(ISNUMBER(AG18),AG18,0)+AH18) / ($I18*((J18+AH18+IF(ISNUMBER(AG18),AG18,0))/J18)^CAPA!F$80),
NA())</f>
        <v>0.12575260048908971</v>
      </c>
      <c r="AJ18" s="123"/>
      <c r="AK18" s="123"/>
      <c r="AL18" s="123"/>
      <c r="AM18" s="48">
        <f>-CAPA!S$89-$B18</f>
        <v>-7</v>
      </c>
      <c r="AN18" s="48">
        <f>IF($B18&gt;CALCULO!$C$28,
        IF($H18*(PI()*AL$4/100)&lt;AO17, $H18*(PI()*AL$4/100),AO17), NA())</f>
        <v>0</v>
      </c>
      <c r="AO18" s="48">
        <f t="shared" si="6"/>
        <v>0</v>
      </c>
      <c r="AP18" s="48">
        <f t="shared" si="12"/>
        <v>0</v>
      </c>
      <c r="AQ18" s="48">
        <f t="array" ref="AQ18">IF(AM17&lt;=0,
       tensaogrupo(-AM17,AL$4),
  NA())</f>
        <v>5.0659381195668862</v>
      </c>
      <c r="AR18" s="48">
        <f>IFERROR(
      (IF(ISNUMBER(AP18),AP18,0)+AQ18) / ($I18*((J18+AQ18+IF(ISNUMBER(AP18),AP18,0))/J18)^CAPA!F$80),
NA())</f>
        <v>8.6898454262112568E-2</v>
      </c>
      <c r="AS18" s="122"/>
      <c r="AV18" s="48">
        <f>-CAPA!V$89-$B18</f>
        <v>-8</v>
      </c>
      <c r="AW18" s="48">
        <f>IF($B18&gt;CALCULO!$C$28,
        IF($H18*(PI()*AU$4/100)&lt;AX17, $H18*(PI()*AU$4/100),AX17), NA())</f>
        <v>0</v>
      </c>
      <c r="AX18" s="48">
        <f t="shared" si="7"/>
        <v>0</v>
      </c>
      <c r="AY18" s="48">
        <f t="shared" si="11"/>
        <v>0</v>
      </c>
      <c r="AZ18" s="48">
        <f t="array" ref="AZ18">IF(AV17&lt;=0,
       tensaogrupo(-AV17,AU$4),
  NA())</f>
        <v>4.0930941902333915</v>
      </c>
      <c r="BA18" s="3">
        <f>IFERROR(
      (IF(ISNUMBER(AY18),AY18,0)+AZ18) / ($I18*(($J18+AZ18+IF(ISNUMBER(AY18),AY18,0))/$J18)^CAPA!$F$80),
NA())</f>
        <v>7.037163781065961E-2</v>
      </c>
      <c r="BB18" s="48"/>
      <c r="BE18" s="48">
        <f>-CAPA!I$15-$B18</f>
        <v>-2</v>
      </c>
      <c r="BF18" s="48">
        <f>IF($B18&gt;CALCULO!$C$28,
        IF($H18*(PI()*BD$4/100)&lt;BG17, $H18*(PI()*BD$4/100),BG17), NA())</f>
        <v>0</v>
      </c>
      <c r="BG18" s="48">
        <f t="shared" si="8"/>
        <v>0</v>
      </c>
      <c r="BH18" s="48">
        <f t="shared" ref="BH18:BH52" si="13">IF(OR(BE18&gt;=0,BG18&lt;0),NA(),4*BG18/(PI()*(BD$4*0.01+(-BE18-0.5))^2))</f>
        <v>0</v>
      </c>
      <c r="BI18" s="48">
        <f t="array" ref="BI18">IF(BE17&lt;=0,
       tensaogrupo(-BE17,BD$4),
  NA())</f>
        <v>10.126109589726159</v>
      </c>
      <c r="BJ18" s="3">
        <f>IFERROR(
      (IF(ISNUMBER(BH18),BH18,0)+BI18) / ($I18*(($J18+BI18+IF(ISNUMBER(BH18),BH18,0))/$J18)^CAPA!$F$80),
NA())</f>
        <v>0.17167141250674206</v>
      </c>
    </row>
    <row r="19" spans="1:62">
      <c r="A19" s="118" t="str">
        <f xml:space="preserve"> IF(CAPA!F24= ""," ",CAPA!F24)</f>
        <v>D-areia argilosa</v>
      </c>
      <c r="B19" s="2">
        <v>16</v>
      </c>
      <c r="C19" s="48">
        <f>CAPA!D24</f>
        <v>15</v>
      </c>
      <c r="D19" s="48">
        <f>CAPA!E24</f>
        <v>20</v>
      </c>
      <c r="E19" s="119">
        <f>C19*IFERROR(INDEX(Compatibilidade!$G$6:$G$20,MATCH(A19,Compatibilidade!$C$6:$C$20,0)) * INDEX(Compatibilidade!$H$6:$H$20,MATCH(A19,Compatibilidade!$C$6:$C$20,0)),"0")</f>
        <v>24.750000000000004</v>
      </c>
      <c r="F19" s="119"/>
      <c r="G19" s="3">
        <f>IF(B19&gt;CALCULO!$C$28,CALCULO!$C$15,NA())</f>
        <v>0.81681408993334625</v>
      </c>
      <c r="H19" s="3">
        <f>IF(CAPA!$O$60 = "Aoki-Velloso (1975)",CALCULO!S22,
        IF(CAPA!$O$60 = "Décourt-Quaresma (1978)",CALCULO!AG22*CALCULO!AF22,
              IF(CAPA!$O$60 = "Teixeira (1996)",CALCULO!AT22,
                    IF(CAPA!$O$60 = "Média",CALCULO!AT22,0))))</f>
        <v>101.50375939849623</v>
      </c>
      <c r="I19" s="48">
        <f>IFERROR(C19*CALCULO!P22*IF(OR(CALCULO!C$5="C-Pré-moldada",CALCULO!C$5="B-Metálica"),6,IF(CALCULO!C$5="F-Hélice Contínua",4,3)),NA())</f>
        <v>54</v>
      </c>
      <c r="J19" s="48">
        <f>J18+IF(-B19&gt;=CALCULO!C$18,D19,D19-CALCULO!C$19)</f>
        <v>218</v>
      </c>
      <c r="K19" s="48"/>
      <c r="L19" s="48">
        <f>-CAPA!I$89-B19</f>
        <v>1</v>
      </c>
      <c r="M19" s="48">
        <f t="shared" ref="M19:M52" si="14">IFERROR(IF(N18&lt;H19*G19,N18,H19*G19),NA())</f>
        <v>0</v>
      </c>
      <c r="N19" s="160">
        <f t="shared" si="1"/>
        <v>0</v>
      </c>
      <c r="O19" s="48" t="e">
        <f>IF(OR(L19&gt;=0,N19&lt;0),NA(),4*N19/(PI()*(CALCULO!$C$8*0.01+(-L19-0.5))^2))</f>
        <v>#N/A</v>
      </c>
      <c r="P19" s="48" t="e" cm="1">
        <f t="array" ref="P19">IF(L18&lt;=0,
       tensao(-L18),
  NA())</f>
        <v>#N/A</v>
      </c>
      <c r="Q19" s="3" t="e">
        <f>IFERROR(
      (IF(ISNUMBER(O19),O19,0)+P19) / (I19*((J19+P19+IF(ISNUMBER(O19),O19,0))/J19)^CAPA!F$80),
NA())</f>
        <v>#N/A</v>
      </c>
      <c r="S19" s="122"/>
      <c r="U19" s="48">
        <f>-CAPA!M$89-B19</f>
        <v>-4</v>
      </c>
      <c r="V19" s="48">
        <f>IF(B19&gt;CALCULO!$C$28,
        IF($H19*(PI()*$T$4/100)&lt;W18, $H19*(PI()*$T$4/100),W18), NA())</f>
        <v>0</v>
      </c>
      <c r="W19" s="160">
        <f t="shared" si="2"/>
        <v>0</v>
      </c>
      <c r="X19" s="48">
        <f t="shared" ref="X19:X52" si="15">IF(OR(U19&gt;=0,W19&lt;0),NA(),4*W19/(PI()*(T$4*0.01+(-U19-0.5))^2))</f>
        <v>0</v>
      </c>
      <c r="Y19" s="48" cm="1">
        <f t="array" ref="Y19">IF(U18&lt;=0,
       tensaogrupo(-U18,T$4),
  NA())</f>
        <v>7.8268955494210228</v>
      </c>
      <c r="Z19" s="48">
        <f>IFERROR(
      (IF(ISNUMBER(X19),X19,0)+Y19) / ($I19*(($J19+Y19+IF(ISNUMBER(X19),X19,0))/$J19)^CAPA!F$80),
NA())</f>
        <v>0.14240859213673898</v>
      </c>
      <c r="AA19" s="48"/>
      <c r="AB19" s="48"/>
      <c r="AC19" s="48"/>
      <c r="AD19" s="48">
        <f>-CAPA!P$89-$B19</f>
        <v>-8</v>
      </c>
      <c r="AE19" s="48">
        <f>IF($B19&gt;CALCULO!$C$28,
        IF($H19*(PI()*AC$4/100)&lt;AF18, $H19*(PI()*AC$4/100),AF18), NA())</f>
        <v>56.755636154940177</v>
      </c>
      <c r="AF19" s="48">
        <f t="shared" si="4"/>
        <v>56.755636154940177</v>
      </c>
      <c r="AG19" s="48">
        <f t="shared" si="5"/>
        <v>1.0560279122738598</v>
      </c>
      <c r="AH19" s="48" cm="1">
        <f t="array" ref="AH19">IF(AD18&lt;=0,
       tensaogrupo(-AD18,AC$4),
  NA())</f>
        <v>4.8827756137518437</v>
      </c>
      <c r="AI19" s="48">
        <f>IFERROR(
      (IF(ISNUMBER(AG19),AG19,0)+AH19) / ($I19*((J19+AH19+IF(ISNUMBER(AG19),AG19,0))/J19)^CAPA!F$80),
NA())</f>
        <v>0.10850975126045616</v>
      </c>
      <c r="AJ19" s="123"/>
      <c r="AK19" s="123"/>
      <c r="AL19" s="123"/>
      <c r="AM19" s="48">
        <f>-CAPA!S$89-$B19</f>
        <v>-8</v>
      </c>
      <c r="AN19" s="48">
        <f>IF($B19&gt;CALCULO!$C$28,
        IF($H19*(PI()*AL$4/100)&lt;AO18, $H19*(PI()*AL$4/100),AO18), NA())</f>
        <v>0</v>
      </c>
      <c r="AO19" s="48">
        <f t="shared" si="6"/>
        <v>0</v>
      </c>
      <c r="AP19" s="48">
        <f t="shared" si="12"/>
        <v>0</v>
      </c>
      <c r="AQ19" s="48">
        <f t="array" ref="AQ19">IF(AM18&lt;=0,
       tensaogrupo(-AM18,AL$4),
  NA())</f>
        <v>4.2450018235318252</v>
      </c>
      <c r="AR19" s="48">
        <f>IFERROR(
      (IF(ISNUMBER(AP19),AP19,0)+AQ19) / ($I19*((J19+AQ19+IF(ISNUMBER(AP19),AP19,0))/J19)^CAPA!F$80),
NA())</f>
        <v>7.7856767194244753E-2</v>
      </c>
      <c r="AS19" s="122"/>
      <c r="AT19" s="122"/>
      <c r="AV19" s="48">
        <f>-CAPA!V$89-$B19</f>
        <v>-9</v>
      </c>
      <c r="AW19" s="48">
        <f>IF($B19&gt;CALCULO!$C$28,
        IF($H19*(PI()*AU$4/100)&lt;AX18, $H19*(PI()*AU$4/100),AX18), NA())</f>
        <v>0</v>
      </c>
      <c r="AX19" s="48">
        <f t="shared" si="7"/>
        <v>0</v>
      </c>
      <c r="AY19" s="48">
        <f t="shared" si="11"/>
        <v>0</v>
      </c>
      <c r="AZ19" s="48">
        <f t="array" ref="AZ19">IF(AV18&lt;=0,
       tensaogrupo(-AV18,AU$4),
  NA())</f>
        <v>3.4966028467699903</v>
      </c>
      <c r="BA19" s="3">
        <f>IFERROR(
      (IF(ISNUMBER(AY19),AY19,0)+AZ19) / ($I19*(($J19+AZ19+IF(ISNUMBER(AY19),AY19,0))/$J19)^CAPA!$F$80),
NA())</f>
        <v>6.4238776235955461E-2</v>
      </c>
      <c r="BB19" s="48"/>
      <c r="BC19" s="122"/>
      <c r="BE19" s="48">
        <f>-CAPA!I$15-$B19</f>
        <v>-3</v>
      </c>
      <c r="BF19" s="48">
        <f>IF($B19&gt;CALCULO!$C$28,
        IF($H19*(PI()*BD$4/100)&lt;BG18, $H19*(PI()*BD$4/100),BG18), NA())</f>
        <v>0</v>
      </c>
      <c r="BG19" s="48">
        <f t="shared" si="8"/>
        <v>0</v>
      </c>
      <c r="BH19" s="48">
        <f t="shared" si="13"/>
        <v>0</v>
      </c>
      <c r="BI19" s="48">
        <f t="array" ref="BI19">IF(BE18&lt;=0,
       tensaogrupo(-BE18,BD$4),
  NA())</f>
        <v>7.8268955494210228</v>
      </c>
      <c r="BJ19" s="3">
        <f>IFERROR(
      (IF(ISNUMBER(BH19),BH19,0)+BI19) / ($I19*(($J19+BI19+IF(ISNUMBER(BH19),BH19,0))/$J19)^CAPA!$F$80),
NA())</f>
        <v>0.14240859213673898</v>
      </c>
    </row>
    <row r="20" spans="1:62">
      <c r="A20" s="118" t="str">
        <f xml:space="preserve"> IF(CAPA!F25= ""," ",CAPA!F25)</f>
        <v>D-areia argilosa</v>
      </c>
      <c r="B20" s="2">
        <v>17</v>
      </c>
      <c r="C20" s="48">
        <f>CAPA!D25</f>
        <v>13</v>
      </c>
      <c r="D20" s="48">
        <f>CAPA!E25</f>
        <v>20</v>
      </c>
      <c r="E20" s="119">
        <f>C20*IFERROR(INDEX(Compatibilidade!$G$6:$G$20,MATCH(A20,Compatibilidade!$C$6:$C$20,0)) * INDEX(Compatibilidade!$H$6:$H$20,MATCH(A20,Compatibilidade!$C$6:$C$20,0)),"0")</f>
        <v>21.450000000000003</v>
      </c>
      <c r="F20" s="119"/>
      <c r="G20" s="3">
        <f>IF(B20&gt;CALCULO!$C$28,CALCULO!$C$15,NA())</f>
        <v>0.81681408993334625</v>
      </c>
      <c r="H20" s="3">
        <f>IF(CAPA!$O$60 = "Aoki-Velloso (1975)",CALCULO!S23,
        IF(CAPA!$O$60 = "Décourt-Quaresma (1978)",CALCULO!AG23*CALCULO!AF23,
              IF(CAPA!$O$60 = "Teixeira (1996)",CALCULO!AT23,
                    IF(CAPA!$O$60 = "Média",CALCULO!AT23,0))))</f>
        <v>87.969924812030072</v>
      </c>
      <c r="I20" s="48">
        <f>IFERROR(C20*CALCULO!P23*IF(OR(CALCULO!C$5="C-Pré-moldada",CALCULO!C$5="B-Metálica"),6,IF(CALCULO!C$5="F-Hélice Contínua",4,3)),NA())</f>
        <v>46.8</v>
      </c>
      <c r="J20" s="48">
        <f>J19+IF(-B20&gt;=CALCULO!C$18,D20,D20-CALCULO!C$19)</f>
        <v>228</v>
      </c>
      <c r="K20" s="48"/>
      <c r="L20" s="48">
        <f>-CAPA!I$89-B20</f>
        <v>0</v>
      </c>
      <c r="M20" s="48">
        <f t="shared" si="14"/>
        <v>0</v>
      </c>
      <c r="N20" s="160">
        <f t="shared" si="1"/>
        <v>0</v>
      </c>
      <c r="O20" s="48" t="e">
        <f>IF(OR(L20&gt;=0,N20&lt;0),NA(),4*N20/(PI()*(CALCULO!$C$8*0.01+(-L20-0.5))^2))</f>
        <v>#N/A</v>
      </c>
      <c r="P20" s="48" t="e" cm="1">
        <f t="array" ref="P20">IF(L19&lt;=0,
       tensao(-L19),
  NA())</f>
        <v>#N/A</v>
      </c>
      <c r="Q20" s="3" t="e">
        <f>IFERROR(
      (IF(ISNUMBER(O20),O20,0)+P20) / (I20*((J20+P20+IF(ISNUMBER(O20),O20,0))/J20)^CAPA!F$80),
NA())</f>
        <v>#N/A</v>
      </c>
      <c r="S20" s="122"/>
      <c r="U20" s="48">
        <f>-CAPA!M$89-B20</f>
        <v>-5</v>
      </c>
      <c r="V20" s="48">
        <f>IF(B20&gt;CALCULO!$C$28,
        IF($H20*(PI()*$T$4/100)&lt;W19, $H20*(PI()*$T$4/100),W19), NA())</f>
        <v>0</v>
      </c>
      <c r="W20" s="160">
        <f t="shared" si="2"/>
        <v>0</v>
      </c>
      <c r="X20" s="48">
        <f>IF(OR(U20&gt;=0,W20&lt;0),NA(),4*W20/(PI()*(T$4*0.01+(-U20-0.5))^2))</f>
        <v>0</v>
      </c>
      <c r="Y20" s="48" cm="1">
        <f t="array" ref="Y20">IF(U19&lt;=0,
       tensaogrupo(-U19,T$4),
  NA())</f>
        <v>6.2499475999638188</v>
      </c>
      <c r="Z20" s="48">
        <f>IFERROR(
      (IF(ISNUMBER(X20),X20,0)+Y20) / ($I20*(($J20+Y20+IF(ISNUMBER(X20),X20,0))/$J20)^CAPA!F$80),
NA())</f>
        <v>0.13175229696385735</v>
      </c>
      <c r="AA20" s="48"/>
      <c r="AB20" s="48"/>
      <c r="AC20" s="48"/>
      <c r="AD20" s="48">
        <f>-CAPA!P$89-$B20</f>
        <v>-9</v>
      </c>
      <c r="AE20" s="48">
        <f>IF($B20&gt;CALCULO!$C$28,
        IF($H20*(PI()*AC$4/100)&lt;AF19, $H20*(PI()*AC$4/100),AF19), NA())</f>
        <v>56.755636154940177</v>
      </c>
      <c r="AF20" s="48">
        <f t="shared" si="4"/>
        <v>56.755636154940177</v>
      </c>
      <c r="AG20" s="48">
        <f t="shared" si="5"/>
        <v>0.84052773298681782</v>
      </c>
      <c r="AH20" s="48" cm="1">
        <f t="array" ref="AH20">IF(AD19&lt;=0,
       tensaogrupo(-AD19,AC$4),
  NA())</f>
        <v>4.0545147077514292</v>
      </c>
      <c r="AI20" s="48">
        <f>IFERROR(
      (IF(ISNUMBER(AG20),AG20,0)+AH20) / ($I20*((J20+AH20+IF(ISNUMBER(AG20),AG20,0))/J20)^CAPA!F$80),
NA())</f>
        <v>0.10348988634714315</v>
      </c>
      <c r="AJ20" s="123"/>
      <c r="AK20" s="123"/>
      <c r="AL20" s="123"/>
      <c r="AM20" s="48">
        <f>-CAPA!S$89-$B20</f>
        <v>-9</v>
      </c>
      <c r="AN20" s="48">
        <f>IF($B20&gt;CALCULO!$C$28,
        IF($H20*(PI()*AL$4/100)&lt;AO19, $H20*(PI()*AL$4/100),AO19), NA())</f>
        <v>0</v>
      </c>
      <c r="AO20" s="48">
        <f t="shared" si="6"/>
        <v>0</v>
      </c>
      <c r="AP20" s="48">
        <f t="shared" si="12"/>
        <v>0</v>
      </c>
      <c r="AQ20" s="48">
        <f t="array" ref="AQ20">IF(AM19&lt;=0,
       tensaogrupo(-AM19,AL$4),
  NA())</f>
        <v>3.6114685054243081</v>
      </c>
      <c r="AR20" s="48">
        <f>IFERROR(
      (IF(ISNUMBER(AP20),AP20,0)+AQ20) / ($I20*((J20+AQ20+IF(ISNUMBER(AP20),AP20,0))/J20)^CAPA!F$80),
NA())</f>
        <v>7.6564133562614753E-2</v>
      </c>
      <c r="AS20" s="122"/>
      <c r="AT20" s="122"/>
      <c r="AV20" s="48">
        <f>-CAPA!V$89-$B20</f>
        <v>-10</v>
      </c>
      <c r="AW20" s="48">
        <f>IF($B20&gt;CALCULO!$C$28,
        IF($H20*(PI()*AU$4/100)&lt;AX19, $H20*(PI()*AU$4/100),AX19), NA())</f>
        <v>0</v>
      </c>
      <c r="AX20" s="48">
        <f t="shared" si="7"/>
        <v>0</v>
      </c>
      <c r="AY20" s="48">
        <f t="shared" si="11"/>
        <v>0</v>
      </c>
      <c r="AZ20" s="48">
        <f t="array" ref="AZ20">IF(AV19&lt;=0,
       tensaogrupo(-AV19,AU$4),
  NA())</f>
        <v>3.0228836586657968</v>
      </c>
      <c r="BA20" s="3">
        <f>IFERROR(
      (IF(ISNUMBER(AY20),AY20,0)+AZ20) / ($I20*(($J20+AZ20+IF(ISNUMBER(AY20),AY20,0))/$J20)^CAPA!$F$80),
NA())</f>
        <v>6.4167556703410816E-2</v>
      </c>
      <c r="BB20" s="48"/>
      <c r="BC20" s="122"/>
      <c r="BE20" s="48">
        <f>-CAPA!I$15-$B20</f>
        <v>-4</v>
      </c>
      <c r="BF20" s="48">
        <f>IF($B20&gt;CALCULO!$C$28,
        IF($H20*(PI()*BD$4/100)&lt;BG19, $H20*(PI()*BD$4/100),BG19), NA())</f>
        <v>0</v>
      </c>
      <c r="BG20" s="48">
        <f t="shared" si="8"/>
        <v>0</v>
      </c>
      <c r="BH20" s="48">
        <f t="shared" si="13"/>
        <v>0</v>
      </c>
      <c r="BI20" s="48">
        <f t="array" ref="BI20">IF(BE19&lt;=0,
       tensaogrupo(-BE19,BD$4),
  NA())</f>
        <v>6.2499475999638188</v>
      </c>
      <c r="BJ20" s="3">
        <f>IFERROR(
      (IF(ISNUMBER(BH20),BH20,0)+BI20) / ($I20*(($J20+BI20+IF(ISNUMBER(BH20),BH20,0))/$J20)^CAPA!$F$80),
NA())</f>
        <v>0.13175229696385735</v>
      </c>
    </row>
    <row r="21" spans="1:62">
      <c r="A21" s="118" t="str">
        <f xml:space="preserve"> IF(CAPA!F26= ""," ",CAPA!F26)</f>
        <v>D-areia argilosa</v>
      </c>
      <c r="B21" s="2">
        <v>18</v>
      </c>
      <c r="C21" s="48">
        <f>CAPA!D26</f>
        <v>14</v>
      </c>
      <c r="D21" s="48">
        <f>CAPA!E26</f>
        <v>20</v>
      </c>
      <c r="E21" s="119">
        <f>C21*IFERROR(INDEX(Compatibilidade!$G$6:$G$20,MATCH(A21,Compatibilidade!$C$6:$C$20,0)) * INDEX(Compatibilidade!$H$6:$H$20,MATCH(A21,Compatibilidade!$C$6:$C$20,0)),"0")</f>
        <v>23.1</v>
      </c>
      <c r="F21" s="119"/>
      <c r="G21" s="3">
        <f>IF(B21&gt;CALCULO!$C$28,CALCULO!$C$15,NA())</f>
        <v>0.81681408993334625</v>
      </c>
      <c r="H21" s="3">
        <f>IF(CAPA!$O$60 = "Aoki-Velloso (1975)",CALCULO!S24,
        IF(CAPA!$O$60 = "Décourt-Quaresma (1978)",CALCULO!AG24*CALCULO!AF24,
              IF(CAPA!$O$60 = "Teixeira (1996)",CALCULO!AT24,
                    IF(CAPA!$O$60 = "Média",CALCULO!AT24,0))))</f>
        <v>94.73684210526315</v>
      </c>
      <c r="I21" s="48">
        <f>IFERROR(C21*CALCULO!P24*IF(OR(CALCULO!C$5="C-Pré-moldada",CALCULO!C$5="B-Metálica"),6,IF(CALCULO!C$5="F-Hélice Contínua",4,3)),NA())</f>
        <v>50.400000000000006</v>
      </c>
      <c r="J21" s="48">
        <f>J20+IF(-B21&gt;=CALCULO!C$18,D21,D21-CALCULO!C$19)</f>
        <v>238</v>
      </c>
      <c r="K21" s="48"/>
      <c r="L21" s="48">
        <f>-CAPA!I$89-B21</f>
        <v>-1</v>
      </c>
      <c r="M21" s="48">
        <f t="shared" si="14"/>
        <v>0</v>
      </c>
      <c r="N21" s="160">
        <f t="shared" si="1"/>
        <v>0</v>
      </c>
      <c r="O21" s="48">
        <f>IF(OR(L21&gt;=0,N21&lt;0),NA(),4*N21/(PI()*(CALCULO!$C$8*0.01+(-L21-0.5))^2))</f>
        <v>0</v>
      </c>
      <c r="P21" s="48" cm="1">
        <f t="array" ref="P21">IF(L20&lt;=0,
       tensao(-L20),
  NA())</f>
        <v>18.434009058619758</v>
      </c>
      <c r="Q21" s="3">
        <f>IFERROR(
      (IF(ISNUMBER(O21),O21,0)+P21) / (I21*((J21+P21+IF(ISNUMBER(O21),O21,0))/J21)^CAPA!F$80),
NA())</f>
        <v>0.35236269874832299</v>
      </c>
      <c r="U21" s="48">
        <f>-CAPA!M$89-B21</f>
        <v>-6</v>
      </c>
      <c r="V21" s="48">
        <f>IF(B21&gt;CALCULO!$C$28,
        IF($H21*(PI()*$T$4/100)&lt;W20, $H21*(PI()*$T$4/100),W20), NA())</f>
        <v>0</v>
      </c>
      <c r="W21" s="160">
        <f t="shared" si="2"/>
        <v>0</v>
      </c>
      <c r="X21" s="48">
        <f>IF(OR(U21&gt;=0,W21&lt;0),NA(),4*W21/(PI()*(T$4*0.01+(-U21-0.5))^2))</f>
        <v>0</v>
      </c>
      <c r="Y21" s="48" cm="1">
        <f t="array" ref="Y21">IF(U20&lt;=0,
       tensaogrupo(-U20,T$4),
  NA())</f>
        <v>5.1164953498175034</v>
      </c>
      <c r="Z21" s="48">
        <f>IFERROR(
      (IF(ISNUMBER(X21),X21,0)+Y21) / ($I21*(($J21+Y21+IF(ISNUMBER(X21),X21,0))/$J21)^CAPA!F$80),
NA())</f>
        <v>0.10044384115397208</v>
      </c>
      <c r="AA21" s="48"/>
      <c r="AB21" s="48"/>
      <c r="AC21" s="48"/>
      <c r="AD21" s="48">
        <f>-CAPA!P$89-$B21</f>
        <v>-10</v>
      </c>
      <c r="AE21" s="48">
        <f>IF($B21&gt;CALCULO!$C$28,
        IF($H21*(PI()*AC$4/100)&lt;AF20, $H21*(PI()*AC$4/100),AF20), NA())</f>
        <v>56.755636154940177</v>
      </c>
      <c r="AF21" s="48">
        <f t="shared" si="4"/>
        <v>56.755636154940177</v>
      </c>
      <c r="AG21" s="48">
        <f t="shared" si="5"/>
        <v>0.68484271520864193</v>
      </c>
      <c r="AH21" s="48" cm="1">
        <f t="array" ref="AH21">IF(AD20&lt;=0,
       tensaogrupo(-AD20,AC$4),
  NA())</f>
        <v>3.4240390457735099</v>
      </c>
      <c r="AI21" s="48">
        <f>IFERROR(
      (IF(ISNUMBER(AG21),AG21,0)+AH21) / ($I21*((J21+AH21+IF(ISNUMBER(AG21),AG21,0))/J21)^CAPA!F$80),
NA())</f>
        <v>8.0830678656511668E-2</v>
      </c>
      <c r="AJ21" s="123"/>
      <c r="AK21" s="123"/>
      <c r="AL21" s="123"/>
      <c r="AM21" s="48">
        <f>-CAPA!S$89-$B21</f>
        <v>-10</v>
      </c>
      <c r="AN21" s="48">
        <f>IF($B21&gt;CALCULO!$C$28,
        IF($H21*(PI()*AL$4/100)&lt;AO20, $H21*(PI()*AL$4/100),AO20), NA())</f>
        <v>0</v>
      </c>
      <c r="AO21" s="48">
        <f t="shared" si="6"/>
        <v>0</v>
      </c>
      <c r="AP21" s="48">
        <f t="shared" si="12"/>
        <v>0</v>
      </c>
      <c r="AQ21" s="48">
        <f t="array" ref="AQ21">IF(AM20&lt;=0,
       tensaogrupo(-AM20,AL$4),
  NA())</f>
        <v>3.1116948101665263</v>
      </c>
      <c r="AR21" s="48">
        <f>IFERROR(
      (IF(ISNUMBER(AP21),AP21,0)+AQ21) / ($I21*((J21+AQ21+IF(ISNUMBER(AP21),AP21,0))/J21)^CAPA!F$80),
NA())</f>
        <v>6.1340286447150214E-2</v>
      </c>
      <c r="AS21" s="122"/>
      <c r="AV21" s="48">
        <f>-CAPA!V$89-$B21</f>
        <v>-11</v>
      </c>
      <c r="AW21" s="48">
        <f>IF($B21&gt;CALCULO!$C$28,
        IF($H21*(PI()*AU$4/100)&lt;AX20, $H21*(PI()*AU$4/100),AX20), NA())</f>
        <v>0</v>
      </c>
      <c r="AX21" s="48">
        <f t="shared" si="7"/>
        <v>0</v>
      </c>
      <c r="AY21" s="48">
        <f t="shared" si="11"/>
        <v>0</v>
      </c>
      <c r="AZ21" s="48">
        <f t="array" ref="AZ21">IF(AV20&lt;=0,
       tensaogrupo(-AV20,AU$4),
  NA())</f>
        <v>2.6401362641793513</v>
      </c>
      <c r="BA21" s="3">
        <f>IFERROR(
      (IF(ISNUMBER(AY21),AY21,0)+AZ21) / ($I21*(($J21+AZ21+IF(ISNUMBER(AY21),AY21,0))/$J21)^CAPA!$F$80),
NA())</f>
        <v>5.2095504980782428E-2</v>
      </c>
      <c r="BB21" s="48"/>
      <c r="BE21" s="48">
        <f>-CAPA!I$15-$B21</f>
        <v>-5</v>
      </c>
      <c r="BF21" s="48">
        <f>IF($B21&gt;CALCULO!$C$28,
        IF($H21*(PI()*BD$4/100)&lt;BG20, $H21*(PI()*BD$4/100),BG20), NA())</f>
        <v>0</v>
      </c>
      <c r="BG21" s="48">
        <f t="shared" si="8"/>
        <v>0</v>
      </c>
      <c r="BH21" s="48">
        <f t="shared" si="13"/>
        <v>0</v>
      </c>
      <c r="BI21" s="48">
        <f t="array" ref="BI21">IF(BE20&lt;=0,
       tensaogrupo(-BE20,BD$4),
  NA())</f>
        <v>5.1164953498175034</v>
      </c>
      <c r="BJ21" s="3">
        <f>IFERROR(
      (IF(ISNUMBER(BH21),BH21,0)+BI21) / ($I21*(($J21+BI21+IF(ISNUMBER(BH21),BH21,0))/$J21)^CAPA!$F$80),
NA())</f>
        <v>0.10044384115397208</v>
      </c>
    </row>
    <row r="22" spans="1:62">
      <c r="A22" s="118" t="str">
        <f xml:space="preserve"> IF(CAPA!F27= ""," ",CAPA!F27)</f>
        <v>D-areia argilosa</v>
      </c>
      <c r="B22" s="2">
        <v>19</v>
      </c>
      <c r="C22" s="48">
        <f>CAPA!D27</f>
        <v>16</v>
      </c>
      <c r="D22" s="48">
        <f>CAPA!E27</f>
        <v>20</v>
      </c>
      <c r="E22" s="119">
        <f>C22*IFERROR(INDEX(Compatibilidade!$G$6:$G$20,MATCH(A22,Compatibilidade!$C$6:$C$20,0)) * INDEX(Compatibilidade!$H$6:$H$20,MATCH(A22,Compatibilidade!$C$6:$C$20,0)),"0")</f>
        <v>26.400000000000002</v>
      </c>
      <c r="F22" s="119"/>
      <c r="G22" s="3">
        <f>IF(B22&gt;CALCULO!$C$28,CALCULO!$C$15,NA())</f>
        <v>0.81681408993334625</v>
      </c>
      <c r="H22" s="3">
        <f>IF(CAPA!$O$60 = "Aoki-Velloso (1975)",CALCULO!S25,
        IF(CAPA!$O$60 = "Décourt-Quaresma (1978)",CALCULO!AG25*CALCULO!AF25,
              IF(CAPA!$O$60 = "Teixeira (1996)",CALCULO!AT25,
                    IF(CAPA!$O$60 = "Média",CALCULO!AT25,0))))</f>
        <v>108.27067669172932</v>
      </c>
      <c r="I22" s="48">
        <f>IFERROR(C22*CALCULO!P25*IF(OR(CALCULO!C$5="C-Pré-moldada",CALCULO!C$5="B-Metálica"),6,IF(CALCULO!C$5="F-Hélice Contínua",4,3)),NA())</f>
        <v>57.599999999999994</v>
      </c>
      <c r="J22" s="48">
        <f>J21+IF(-B22&gt;=CALCULO!C$18,D22,D22-CALCULO!C$19)</f>
        <v>248</v>
      </c>
      <c r="K22" s="48"/>
      <c r="L22" s="48">
        <f>-CAPA!I$89-B22</f>
        <v>-2</v>
      </c>
      <c r="M22" s="48">
        <f t="shared" si="14"/>
        <v>0</v>
      </c>
      <c r="N22" s="160">
        <f t="shared" si="1"/>
        <v>0</v>
      </c>
      <c r="O22" s="48">
        <f>IF(OR(L22&gt;=0,N22&lt;0),NA(),4*N22/(PI()*(CALCULO!$C$8*0.01+(-L22-0.5))^2))</f>
        <v>0</v>
      </c>
      <c r="P22" s="48" cm="1">
        <f t="array" ref="P22">IF(L21&lt;=0,
       tensao(-L21),
  NA())</f>
        <v>12.522282633884757</v>
      </c>
      <c r="Q22" s="3">
        <f>IFERROR(
      (IF(ISNUMBER(O22),O22,0)+P22) / (I22*((J22+P22+IF(ISNUMBER(O22),O22,0))/J22)^CAPA!F$80),
NA())</f>
        <v>0.2121116007253952</v>
      </c>
      <c r="U22" s="48">
        <f>-CAPA!M$89-B22</f>
        <v>-7</v>
      </c>
      <c r="V22" s="48">
        <f>IF(B22&gt;CALCULO!$C$28,
        IF($H22*(PI()*$T$4/100)&lt;W21, $H22*(PI()*$T$4/100),W21), NA())</f>
        <v>0</v>
      </c>
      <c r="W22" s="160">
        <f t="shared" si="2"/>
        <v>0</v>
      </c>
      <c r="X22" s="48">
        <f t="shared" si="15"/>
        <v>0</v>
      </c>
      <c r="Y22" s="48" cm="1">
        <f t="array" ref="Y22">IF(U21&lt;=0,
       tensaogrupo(-U21,T$4),
  NA())</f>
        <v>4.2719382932687404</v>
      </c>
      <c r="Z22" s="48">
        <f>IFERROR(
      (IF(ISNUMBER(X22),X22,0)+Y22) / ($I22*(($J22+Y22+IF(ISNUMBER(X22),X22,0))/$J22)^CAPA!F$80),
NA())</f>
        <v>7.3534959199774472E-2</v>
      </c>
      <c r="AD22" s="48">
        <f>-CAPA!P$89-$B22</f>
        <v>-11</v>
      </c>
      <c r="AE22" s="48">
        <f>IF($B22&gt;CALCULO!$C$28,
        IF($H22*(PI()*AC$4/100)&lt;AF21, $H22*(PI()*AC$4/100),AF21), NA())</f>
        <v>56.755636154940177</v>
      </c>
      <c r="AF22" s="48">
        <f t="shared" si="4"/>
        <v>56.755636154940177</v>
      </c>
      <c r="AG22" s="48">
        <f t="shared" si="5"/>
        <v>0.56872264492942692</v>
      </c>
      <c r="AH22" s="48" cm="1">
        <f t="array" ref="AH22">IF(AD21&lt;=0,
       tensaogrupo(-AD21,AC$4),
  NA())</f>
        <v>2.932236365623365</v>
      </c>
      <c r="AI22" s="48">
        <f>IFERROR(
      (IF(ISNUMBER(AG22),AG22,0)+AH22) / ($I22*((J22+AH22+IF(ISNUMBER(AG22),AG22,0))/J22)^CAPA!F$80),
NA())</f>
        <v>6.035601535106655E-2</v>
      </c>
      <c r="AJ22" s="123"/>
      <c r="AK22" s="123"/>
      <c r="AL22" s="123"/>
      <c r="AM22" s="48">
        <f>-CAPA!S$89-$B22</f>
        <v>-11</v>
      </c>
      <c r="AN22" s="48">
        <f>IF($B22&gt;CALCULO!$C$28,
        IF($H22*(PI()*AL$4/100)&lt;AO21, $H22*(PI()*AL$4/100),AO21), NA())</f>
        <v>0</v>
      </c>
      <c r="AO22" s="48">
        <f t="shared" si="6"/>
        <v>0</v>
      </c>
      <c r="AP22" s="48">
        <f t="shared" si="12"/>
        <v>0</v>
      </c>
      <c r="AQ22" s="48">
        <f t="array" ref="AQ22">IF(AM21&lt;=0,
       tensaogrupo(-AM21,AL$4),
  NA())</f>
        <v>2.7101188566859356</v>
      </c>
      <c r="AR22" s="119">
        <f>IFERROR(
      (IF(ISNUMBER(AP22),AP22,0)+AQ22) / ($I22*((J22+AQ22+IF(ISNUMBER(AP22),AP22,0))/J22)^CAPA!F$80),
NA())</f>
        <v>4.6795680116839669E-2</v>
      </c>
      <c r="AS22" s="122"/>
      <c r="AV22" s="48">
        <f>-CAPA!V$89-$B22</f>
        <v>-12</v>
      </c>
      <c r="AW22" s="48">
        <f>IF($B22&gt;CALCULO!$C$28,
        IF($H22*(PI()*AU$4/100)&lt;AX21, $H22*(PI()*AU$4/100),AX21), NA())</f>
        <v>0</v>
      </c>
      <c r="AX22" s="48">
        <f t="shared" si="7"/>
        <v>0</v>
      </c>
      <c r="AY22" s="48">
        <f t="shared" si="11"/>
        <v>0</v>
      </c>
      <c r="AZ22" s="48">
        <f t="array" ref="AZ22">IF(AV21&lt;=0,
       tensaogrupo(-AV21,AU$4),
  NA())</f>
        <v>2.3263001519317603</v>
      </c>
      <c r="BA22" s="3">
        <f>IFERROR(
      (IF(ISNUMBER(AY22),AY22,0)+AZ22) / ($I22*(($J22+AZ22+IF(ISNUMBER(AY22),AY22,0))/$J22)^CAPA!$F$80),
NA())</f>
        <v>4.0199057035402302E-2</v>
      </c>
      <c r="BB22" s="48"/>
      <c r="BE22" s="48">
        <f>-CAPA!I$15-$B22</f>
        <v>-6</v>
      </c>
      <c r="BF22" s="48">
        <f>IF($B22&gt;CALCULO!$C$28,
        IF($H22*(PI()*BD$4/100)&lt;BG21, $H22*(PI()*BD$4/100),BG21), NA())</f>
        <v>0</v>
      </c>
      <c r="BG22" s="48">
        <f t="shared" si="8"/>
        <v>0</v>
      </c>
      <c r="BH22" s="48">
        <f t="shared" si="13"/>
        <v>0</v>
      </c>
      <c r="BI22" s="48">
        <f t="array" ref="BI22">IF(BE21&lt;=0,
       tensaogrupo(-BE21,BD$4),
  NA())</f>
        <v>4.2719382932687404</v>
      </c>
      <c r="BJ22" s="3">
        <f>IFERROR(
      (IF(ISNUMBER(BH22),BH22,0)+BI22) / ($I22*(($J22+BI22+IF(ISNUMBER(BH22),BH22,0))/$J22)^CAPA!$F$80),
NA())</f>
        <v>7.3534959199774472E-2</v>
      </c>
    </row>
    <row r="23" spans="1:62">
      <c r="A23" s="118" t="str">
        <f xml:space="preserve"> IF(CAPA!F28= ""," ",CAPA!F28)</f>
        <v>D-areia argilosa</v>
      </c>
      <c r="B23" s="2">
        <v>20</v>
      </c>
      <c r="C23" s="48">
        <f>CAPA!D28</f>
        <v>21</v>
      </c>
      <c r="D23" s="48">
        <f>CAPA!E28</f>
        <v>21</v>
      </c>
      <c r="E23" s="119">
        <f>C23*IFERROR(INDEX(Compatibilidade!$G$6:$G$20,MATCH(A23,Compatibilidade!$C$6:$C$20,0)) * INDEX(Compatibilidade!$H$6:$H$20,MATCH(A23,Compatibilidade!$C$6:$C$20,0)),"0")</f>
        <v>34.650000000000006</v>
      </c>
      <c r="F23" s="119"/>
      <c r="G23" s="3">
        <f>IF(B23&gt;CALCULO!$C$28,CALCULO!$C$15,NA())</f>
        <v>0.81681408993334625</v>
      </c>
      <c r="H23" s="3">
        <f>IF(CAPA!$O$60 = "Aoki-Velloso (1975)",CALCULO!S26,
        IF(CAPA!$O$60 = "Décourt-Quaresma (1978)",CALCULO!AG26*CALCULO!AF26,
              IF(CAPA!$O$60 = "Teixeira (1996)",CALCULO!AT26,
                    IF(CAPA!$O$60 = "Média",CALCULO!AT26,0))))</f>
        <v>142.10526315789474</v>
      </c>
      <c r="I23" s="48">
        <f>IFERROR(C23*CALCULO!P26*IF(OR(CALCULO!C$5="C-Pré-moldada",CALCULO!C$5="B-Metálica"),6,IF(CALCULO!C$5="F-Hélice Contínua",4,3)),NA())</f>
        <v>75.599999999999994</v>
      </c>
      <c r="J23" s="48">
        <f>J22+IF(-B23&gt;=CALCULO!C$18,D23,D23-CALCULO!C$19)</f>
        <v>259</v>
      </c>
      <c r="K23" s="48"/>
      <c r="L23" s="48">
        <f>-CAPA!I$89-B23</f>
        <v>-3</v>
      </c>
      <c r="M23" s="48">
        <f t="shared" si="14"/>
        <v>0</v>
      </c>
      <c r="N23" s="160">
        <f t="shared" si="1"/>
        <v>0</v>
      </c>
      <c r="O23" s="48">
        <f>IF(OR(L23&gt;=0,N23&lt;0),NA(),4*N23/(PI()*(CALCULO!$C$8*0.01+(-L23-0.5))^2))</f>
        <v>0</v>
      </c>
      <c r="P23" s="48" cm="1">
        <f t="array" ref="P23">IF(L22&lt;=0,
       tensao(-L22),
  NA())</f>
        <v>9.1849557108110051</v>
      </c>
      <c r="Q23" s="3">
        <f>IFERROR(
      (IF(ISNUMBER(O23),O23,0)+P23) / (I23*((J23+P23+IF(ISNUMBER(O23),O23,0))/J23)^CAPA!F$80),
NA())</f>
        <v>0.11939549686322731</v>
      </c>
      <c r="U23" s="48">
        <f>-CAPA!M$89-B23</f>
        <v>-8</v>
      </c>
      <c r="V23" s="48">
        <f>IF(B23&gt;CALCULO!$C$28,
        IF($H23*(PI()*$T$4/100)&lt;W22, $H23*(PI()*$T$4/100),W22), NA())</f>
        <v>0</v>
      </c>
      <c r="W23" s="160">
        <f t="shared" si="2"/>
        <v>0</v>
      </c>
      <c r="X23" s="48">
        <f t="shared" si="15"/>
        <v>0</v>
      </c>
      <c r="Y23" s="48" cm="1">
        <f t="array" ref="Y23">IF(U22&lt;=0,
       tensaogrupo(-U22,T$4),
  NA())</f>
        <v>3.6243748590206817</v>
      </c>
      <c r="Z23" s="48">
        <f>IFERROR(
      (IF(ISNUMBER(X23),X23,0)+Y23) / ($I23*(($J23+Y23+IF(ISNUMBER(X23),X23,0))/$J23)^CAPA!F$80),
NA())</f>
        <v>4.7609506514805229E-2</v>
      </c>
      <c r="AD23" s="48">
        <f>-CAPA!P$89-$B23</f>
        <v>-12</v>
      </c>
      <c r="AE23" s="48">
        <f>IF($B23&gt;CALCULO!$C$28,
        IF($H23*(PI()*AC$4/100)&lt;AF22, $H23*(PI()*AC$4/100),AF22), NA())</f>
        <v>56.755636154940177</v>
      </c>
      <c r="AF23" s="48">
        <f t="shared" si="4"/>
        <v>56.755636154940177</v>
      </c>
      <c r="AG23" s="48">
        <f t="shared" si="5"/>
        <v>0.47981425156395507</v>
      </c>
      <c r="AH23" s="48" cm="1">
        <f t="array" ref="AH23">IF(AD22&lt;=0,
       tensaogrupo(-AD22,AC$4),
  NA())</f>
        <v>2.540747132216207</v>
      </c>
      <c r="AI23" s="48">
        <f>IFERROR(
      (IF(ISNUMBER(AG23),AG23,0)+AH23) / ($I23*((J23+AH23+IF(ISNUMBER(AG23),AG23,0))/J23)^CAPA!F$80),
NA())</f>
        <v>3.9723551151642215E-2</v>
      </c>
      <c r="AJ23" s="123"/>
      <c r="AK23" s="123"/>
      <c r="AL23" s="123"/>
      <c r="AM23" s="48">
        <f>-CAPA!S$89-$B23</f>
        <v>-12</v>
      </c>
      <c r="AN23" s="48">
        <f>IF($B23&gt;CALCULO!$C$28,
        IF($H23*(PI()*AL$4/100)&lt;AO22, $H23*(PI()*AL$4/100),AO22), NA())</f>
        <v>0</v>
      </c>
      <c r="AO23" s="48">
        <f t="shared" si="6"/>
        <v>0</v>
      </c>
      <c r="AP23" s="48">
        <f t="shared" si="12"/>
        <v>0</v>
      </c>
      <c r="AQ23" s="48">
        <f t="array" ref="AQ23">IF(AM22&lt;=0,
       tensaogrupo(-AM22,AL$4),
  NA())</f>
        <v>2.3823574299391486</v>
      </c>
      <c r="AR23" s="119">
        <f>IFERROR(
      (IF(ISNUMBER(AP23),AP23,0)+AQ23) / ($I23*((J23+AQ23+IF(ISNUMBER(AP23),AP23,0))/J23)^CAPA!F$80),
NA())</f>
        <v>3.1368725322341522E-2</v>
      </c>
      <c r="AS23" s="122"/>
      <c r="AV23" s="48">
        <f>-CAPA!V$89-$B23</f>
        <v>-13</v>
      </c>
      <c r="AW23" s="48">
        <f>IF($B23&gt;CALCULO!$C$28,
        IF($H23*(PI()*AU$4/100)&lt;AX22, $H23*(PI()*AU$4/100),AX22), NA())</f>
        <v>0</v>
      </c>
      <c r="AX23" s="48">
        <f t="shared" si="7"/>
        <v>0</v>
      </c>
      <c r="AY23" s="48">
        <f t="shared" si="11"/>
        <v>0</v>
      </c>
      <c r="AZ23" s="48">
        <f t="array" ref="AZ23">IF(AV22&lt;=0,
       tensaogrupo(-AV22,AU$4),
  NA())</f>
        <v>2.0656610602435488</v>
      </c>
      <c r="BA23" s="3">
        <f>IFERROR(
      (IF(ISNUMBER(AY23),AY23,0)+AZ23) / ($I23*(($J23+AZ23+IF(ISNUMBER(AY23),AY23,0))/$J23)^CAPA!$F$80),
NA())</f>
        <v>2.7215246586884772E-2</v>
      </c>
      <c r="BB23" s="120"/>
      <c r="BE23" s="48">
        <f>-CAPA!I$15-$B23</f>
        <v>-7</v>
      </c>
      <c r="BF23" s="48">
        <f>IF($B23&gt;CALCULO!$C$28,
        IF($H23*(PI()*BD$4/100)&lt;BG22, $H23*(PI()*BD$4/100),BG22), NA())</f>
        <v>0</v>
      </c>
      <c r="BG23" s="48">
        <f t="shared" si="8"/>
        <v>0</v>
      </c>
      <c r="BH23" s="48">
        <f t="shared" si="13"/>
        <v>0</v>
      </c>
      <c r="BI23" s="48">
        <f t="array" ref="BI23">IF(BE22&lt;=0,
       tensaogrupo(-BE22,BD$4),
  NA())</f>
        <v>3.6243748590206817</v>
      </c>
      <c r="BJ23" s="3">
        <f>IFERROR(
      (IF(ISNUMBER(BH23),BH23,0)+BI23) / ($I23*(($J23+BI23+IF(ISNUMBER(BH23),BH23,0))/$J23)^CAPA!$F$80),
NA())</f>
        <v>4.7609506514805229E-2</v>
      </c>
    </row>
    <row r="24" spans="1:62">
      <c r="A24" s="118" t="str">
        <f xml:space="preserve"> IF(CAPA!F29= ""," ",CAPA!F29)</f>
        <v>D-areia argilosa</v>
      </c>
      <c r="B24" s="2">
        <v>21</v>
      </c>
      <c r="C24" s="48">
        <f>CAPA!D29</f>
        <v>28</v>
      </c>
      <c r="D24" s="48">
        <f>CAPA!E29</f>
        <v>21</v>
      </c>
      <c r="E24" s="119">
        <f>C24*IFERROR(INDEX(Compatibilidade!$G$6:$G$20,MATCH(A24,Compatibilidade!$C$6:$C$20,0)) * INDEX(Compatibilidade!$H$6:$H$20,MATCH(A24,Compatibilidade!$C$6:$C$20,0)),"0")</f>
        <v>46.2</v>
      </c>
      <c r="F24" s="119"/>
      <c r="G24" s="3">
        <f>IF(B24&gt;CALCULO!$C$28,CALCULO!$C$15,NA())</f>
        <v>0.81681408993334625</v>
      </c>
      <c r="H24" s="3">
        <f>IF(CAPA!$O$60 = "Aoki-Velloso (1975)",CALCULO!S27,
        IF(CAPA!$O$60 = "Décourt-Quaresma (1978)",CALCULO!AG27*CALCULO!AF27,
              IF(CAPA!$O$60 = "Teixeira (1996)",CALCULO!AT27,
                    IF(CAPA!$O$60 = "Média",CALCULO!AT27,0))))</f>
        <v>189.4736842105263</v>
      </c>
      <c r="I24" s="48">
        <f>IFERROR(C24*CALCULO!P27*IF(OR(CALCULO!C$5="C-Pré-moldada",CALCULO!C$5="B-Metálica"),6,IF(CALCULO!C$5="F-Hélice Contínua",4,3)),NA())</f>
        <v>100.80000000000001</v>
      </c>
      <c r="J24" s="48">
        <f>J23+IF(-B24&gt;=CALCULO!C$18,D24,D24-CALCULO!C$19)</f>
        <v>270</v>
      </c>
      <c r="K24" s="48"/>
      <c r="L24" s="48">
        <f>-CAPA!I$89-B24</f>
        <v>-4</v>
      </c>
      <c r="M24" s="48">
        <f t="shared" si="14"/>
        <v>0</v>
      </c>
      <c r="N24" s="160">
        <f t="shared" si="1"/>
        <v>0</v>
      </c>
      <c r="O24" s="48">
        <f>IF(OR(L24&gt;=0,N24&lt;0),NA(),4*N24/(PI()*(CALCULO!$C$8*0.01+(-L24-0.5))^2))</f>
        <v>0</v>
      </c>
      <c r="P24" s="48" cm="1">
        <f t="array" ref="P24">IF(L23&lt;=0,
       tensao(-L23),
  NA())</f>
        <v>7.0810500039042994</v>
      </c>
      <c r="Q24" s="3">
        <f>IFERROR(
      (IF(ISNUMBER(O24),O24,0)+P24) / (I24*((J24+P24+IF(ISNUMBER(O24),O24,0))/J24)^CAPA!F$80),
NA())</f>
        <v>6.9345071268743147E-2</v>
      </c>
      <c r="U24" s="48">
        <f>-CAPA!M$89-B24</f>
        <v>-9</v>
      </c>
      <c r="V24" s="48">
        <f>IF(B24&gt;CALCULO!$C$28,
        IF($H24*(PI()*$T$4/100)&lt;W23, $H24*(PI()*$T$4/100),W23), NA())</f>
        <v>0</v>
      </c>
      <c r="W24" s="160">
        <f t="shared" si="2"/>
        <v>0</v>
      </c>
      <c r="X24" s="48">
        <f t="shared" si="15"/>
        <v>0</v>
      </c>
      <c r="Y24" s="48" cm="1">
        <f t="array" ref="Y24">IF(U23&lt;=0,
       tensaogrupo(-U23,T$4),
  NA())</f>
        <v>3.1161369557208447</v>
      </c>
      <c r="Z24" s="48">
        <f>IFERROR(
      (IF(ISNUMBER(X24),X24,0)+Y24) / ($I24*(($J24+Y24+IF(ISNUMBER(X24),X24,0))/$J24)^CAPA!F$80),
NA())</f>
        <v>3.0737193159796786E-2</v>
      </c>
      <c r="AD24" s="48">
        <f>-CAPA!P$89-$B24</f>
        <v>-13</v>
      </c>
      <c r="AE24" s="48">
        <f>IF($B24&gt;CALCULO!$C$28,
        IF($H24*(PI()*AC$4/100)&lt;AF23, $H24*(PI()*AC$4/100),AF23), NA())</f>
        <v>56.755636154940177</v>
      </c>
      <c r="AF24" s="48">
        <f t="shared" si="4"/>
        <v>56.755636154940177</v>
      </c>
      <c r="AG24" s="48">
        <f t="shared" si="5"/>
        <v>0.4102345573264215</v>
      </c>
      <c r="AH24" s="48" cm="1">
        <f t="array" ref="AH24">IF(AD23&lt;=0,
       tensaogrupo(-AD23,AC$4),
  NA())</f>
        <v>2.223734500343618</v>
      </c>
      <c r="AI24" s="119">
        <f>IFERROR(
      (IF(ISNUMBER(AG24),AG24,0)+AH24) / ($I24*((J24+AH24+IF(ISNUMBER(AG24),AG24,0))/J24)^CAPA!F$80),
NA())</f>
        <v>2.600411246870768E-2</v>
      </c>
      <c r="AJ24" s="123"/>
      <c r="AK24" s="123"/>
      <c r="AL24" s="123"/>
      <c r="AM24" s="48">
        <f>-CAPA!S$89-$B24</f>
        <v>-13</v>
      </c>
      <c r="AN24" s="48">
        <f>IF($B24&gt;CALCULO!$C$28,
        IF($H24*(PI()*AL$4/100)&lt;AO23, $H24*(PI()*AL$4/100),AO23), NA())</f>
        <v>0</v>
      </c>
      <c r="AO24" s="48">
        <f t="shared" si="6"/>
        <v>0</v>
      </c>
      <c r="AP24" s="48">
        <f t="shared" si="12"/>
        <v>0</v>
      </c>
      <c r="AQ24" s="48">
        <f t="array" ref="AQ24">IF(AM23&lt;=0,
       tensaogrupo(-AM23,AL$4),
  NA())</f>
        <v>2.1112107626182777</v>
      </c>
      <c r="AR24" s="119">
        <f>IFERROR(
      (IF(ISNUMBER(AP24),AP24,0)+AQ24) / ($I24*((J24+AQ24+IF(ISNUMBER(AP24),AP24,0))/J24)^CAPA!F$80),
NA())</f>
        <v>2.0863142470615808E-2</v>
      </c>
      <c r="AS24" s="122"/>
      <c r="AV24" s="48">
        <f>-CAPA!V$89-$B24</f>
        <v>-14</v>
      </c>
      <c r="AW24" s="48">
        <f>IF($B24&gt;CALCULO!$C$28,
        IF($H24*(PI()*AU$4/100)&lt;AX23, $H24*(PI()*AU$4/100),AX23), NA())</f>
        <v>0</v>
      </c>
      <c r="AX24" s="48">
        <f t="shared" si="7"/>
        <v>0</v>
      </c>
      <c r="AY24" s="48">
        <f t="shared" si="11"/>
        <v>0</v>
      </c>
      <c r="AZ24" s="48">
        <f t="array" ref="AZ24">IF(AV23&lt;=0,
       tensaogrupo(-AV23,AU$4),
  NA())</f>
        <v>1.8467677873937312</v>
      </c>
      <c r="BA24" s="3">
        <f>IFERROR(
      (IF(ISNUMBER(AY24),AY24,0)+AZ24) / ($I24*(($J24+AZ24+IF(ISNUMBER(AY24),AY24,0))/$J24)^CAPA!$F$80),
NA())</f>
        <v>1.8258771506165321E-2</v>
      </c>
      <c r="BB24" s="120"/>
      <c r="BE24" s="48">
        <f>-CAPA!I$15-$B24</f>
        <v>-8</v>
      </c>
      <c r="BF24" s="48">
        <f>IF($B24&gt;CALCULO!$C$28,
        IF($H24*(PI()*BD$4/100)&lt;BG23, $H24*(PI()*BD$4/100),BG23), NA())</f>
        <v>0</v>
      </c>
      <c r="BG24" s="48">
        <f t="shared" si="8"/>
        <v>0</v>
      </c>
      <c r="BH24" s="48">
        <f t="shared" si="13"/>
        <v>0</v>
      </c>
      <c r="BI24" s="48">
        <f t="array" ref="BI24">IF(BE23&lt;=0,
       tensaogrupo(-BE23,BD$4),
  NA())</f>
        <v>3.1161369557208447</v>
      </c>
      <c r="BJ24" s="3">
        <f>IFERROR(
      (IF(ISNUMBER(BH24),BH24,0)+BI24) / ($I24*(($J24+BI24+IF(ISNUMBER(BH24),BH24,0))/$J24)^CAPA!$F$80),
NA())</f>
        <v>3.0737193159796786E-2</v>
      </c>
    </row>
    <row r="25" spans="1:62">
      <c r="A25" s="118" t="str">
        <f xml:space="preserve"> IF(CAPA!F30= ""," ",CAPA!F30)</f>
        <v>D-areia argilosa</v>
      </c>
      <c r="B25" s="2">
        <v>22</v>
      </c>
      <c r="C25" s="48">
        <f>CAPA!D30</f>
        <v>25</v>
      </c>
      <c r="D25" s="48">
        <f>CAPA!E30</f>
        <v>21</v>
      </c>
      <c r="E25" s="119">
        <f>C25*IFERROR(INDEX(Compatibilidade!$G$6:$G$20,MATCH(A25,Compatibilidade!$C$6:$C$20,0)) * INDEX(Compatibilidade!$H$6:$H$20,MATCH(A25,Compatibilidade!$C$6:$C$20,0)),"0")</f>
        <v>41.25</v>
      </c>
      <c r="F25" s="119"/>
      <c r="G25" s="3">
        <f>IF(B25&gt;CALCULO!$C$28,CALCULO!$C$15,NA())</f>
        <v>0.81681408993334625</v>
      </c>
      <c r="H25" s="3">
        <f>IF(CAPA!$O$60 = "Aoki-Velloso (1975)",CALCULO!S28,
        IF(CAPA!$O$60 = "Décourt-Quaresma (1978)",CALCULO!AG28*CALCULO!AF28,
              IF(CAPA!$O$60 = "Teixeira (1996)",CALCULO!AT28,
                    IF(CAPA!$O$60 = "Média",CALCULO!AT28,0))))</f>
        <v>169.17293233082705</v>
      </c>
      <c r="I25" s="48">
        <f>IFERROR(C25*CALCULO!P28*IF(OR(CALCULO!C$5="C-Pré-moldada",CALCULO!C$5="B-Metálica"),6,IF(CALCULO!C$5="F-Hélice Contínua",4,3)),NA())</f>
        <v>90</v>
      </c>
      <c r="J25" s="48">
        <f>J24+IF(-B25&gt;=CALCULO!C$18,D25,D25-CALCULO!C$19)</f>
        <v>281</v>
      </c>
      <c r="K25" s="48"/>
      <c r="L25" s="48">
        <f>-CAPA!I$89-B25</f>
        <v>-5</v>
      </c>
      <c r="M25" s="48">
        <f t="shared" si="14"/>
        <v>0</v>
      </c>
      <c r="N25" s="160">
        <f t="shared" si="1"/>
        <v>0</v>
      </c>
      <c r="O25" s="48">
        <f>IF(OR(L25&gt;=0,N25&lt;0),NA(),4*N25/(PI()*(CALCULO!$C$8*0.01+(-L25-0.5))^2))</f>
        <v>0</v>
      </c>
      <c r="P25" s="48" cm="1">
        <f t="array" ref="P25">IF(L24&lt;=0,
       tensao(-L24),
  NA())</f>
        <v>5.6543243885377334</v>
      </c>
      <c r="Q25" s="3">
        <f>IFERROR(
      (IF(ISNUMBER(O25),O25,0)+P25) / (I25*((J25+P25+IF(ISNUMBER(O25),O25,0))/J25)^CAPA!F$80),
NA())</f>
        <v>6.2203113305126422E-2</v>
      </c>
      <c r="U25" s="48">
        <f>-CAPA!M$89-B25</f>
        <v>-10</v>
      </c>
      <c r="V25" s="48">
        <f>IF(B25&gt;CALCULO!$C$28,
        IF($H25*(PI()*$T$4/100)&lt;W24, $H25*(PI()*$T$4/100),W24), NA())</f>
        <v>0</v>
      </c>
      <c r="W25" s="160">
        <f t="shared" si="2"/>
        <v>0</v>
      </c>
      <c r="X25" s="48">
        <f t="shared" si="15"/>
        <v>0</v>
      </c>
      <c r="Y25" s="48" cm="1">
        <f t="array" ref="Y25">IF(U24&lt;=0,
       tensaogrupo(-U24,T$4),
  NA())</f>
        <v>2.7094300836512271</v>
      </c>
      <c r="Z25" s="48">
        <f>IFERROR(
      (IF(ISNUMBER(X25),X25,0)+Y25) / ($I25*(($J25+Y25+IF(ISNUMBER(X25),X25,0))/$J25)^CAPA!F$80),
NA())</f>
        <v>2.996068326841882E-2</v>
      </c>
      <c r="AD25" s="48">
        <f>-CAPA!P$89-$B25</f>
        <v>-14</v>
      </c>
      <c r="AE25" s="48">
        <f>IF($B25&gt;CALCULO!$C$28,
        IF($H25*(PI()*AC$4/100)&lt;AF24, $H25*(PI()*AC$4/100),AF24), NA())</f>
        <v>56.755636154940177</v>
      </c>
      <c r="AF25" s="48">
        <f t="shared" si="4"/>
        <v>56.755636154940177</v>
      </c>
      <c r="AG25" s="48">
        <f t="shared" si="5"/>
        <v>0.35476135373058254</v>
      </c>
      <c r="AH25" s="48" cm="1">
        <f t="array" ref="AH25">IF(AD24&lt;=0,
       tensaogrupo(-AD24,AC$4),
  NA())</f>
        <v>1.9632460851908848</v>
      </c>
      <c r="AI25" s="119">
        <f>IFERROR(
      (IF(ISNUMBER(AG25),AG25,0)+AH25) / ($I25*((J25+AH25+IF(ISNUMBER(AG25),AG25,0))/J25)^CAPA!F$80),
NA())</f>
        <v>2.5650060068060747E-2</v>
      </c>
      <c r="AJ25" s="123"/>
      <c r="AK25" s="123"/>
      <c r="AL25" s="123"/>
      <c r="AM25" s="48">
        <f>-CAPA!S$89-$B25</f>
        <v>-14</v>
      </c>
      <c r="AN25" s="48">
        <f>IF($B25&gt;CALCULO!$C$28,
        IF($H25*(PI()*AL$4/100)&lt;AO24, $H25*(PI()*AL$4/100),AO24), NA())</f>
        <v>0</v>
      </c>
      <c r="AO25" s="48">
        <f t="shared" si="6"/>
        <v>0</v>
      </c>
      <c r="AP25" s="48">
        <f t="shared" si="12"/>
        <v>0</v>
      </c>
      <c r="AQ25" s="48">
        <f t="array" ref="AQ25">IF(AM24&lt;=0,
       tensaogrupo(-AM24,AL$4),
  NA())</f>
        <v>1.8842484400677471</v>
      </c>
      <c r="AR25" s="119">
        <f>IFERROR(
      (IF(ISNUMBER(AP25),AP25,0)+AQ25) / ($I25*((J25+AQ25+IF(ISNUMBER(AP25),AP25,0))/J25)^CAPA!F$80),
NA())</f>
        <v>2.0866251232412369E-2</v>
      </c>
      <c r="AS25" s="122"/>
      <c r="AV25" s="48">
        <f>-CAPA!V$89-$B25</f>
        <v>-15</v>
      </c>
      <c r="AW25" s="48">
        <f>IF($B25&gt;CALCULO!$C$28,
        IF($H25*(PI()*AU$4/100)&lt;AX24, $H25*(PI()*AU$4/100),AX24), NA())</f>
        <v>0</v>
      </c>
      <c r="AX25" s="48">
        <f t="shared" si="7"/>
        <v>0</v>
      </c>
      <c r="AY25" s="48">
        <f t="shared" si="11"/>
        <v>0</v>
      </c>
      <c r="AZ25" s="48">
        <f t="array" ref="AZ25">IF(AV24&lt;=0,
       tensaogrupo(-AV24,AU$4),
  NA())</f>
        <v>1.6611090093861114</v>
      </c>
      <c r="BA25" s="3">
        <f>IFERROR(
      (IF(ISNUMBER(AY25),AY25,0)+AZ25) / ($I25*(($J25+AZ25+IF(ISNUMBER(AY25),AY25,0))/$J25)^CAPA!$F$80),
NA())</f>
        <v>1.8402454599462385E-2</v>
      </c>
      <c r="BB25" s="120"/>
      <c r="BE25" s="48">
        <f>-CAPA!I$15-$B25</f>
        <v>-9</v>
      </c>
      <c r="BF25" s="48">
        <f>IF($B25&gt;CALCULO!$C$28,
        IF($H25*(PI()*BD$4/100)&lt;BG24, $H25*(PI()*BD$4/100),BG24), NA())</f>
        <v>0</v>
      </c>
      <c r="BG25" s="48">
        <f t="shared" si="8"/>
        <v>0</v>
      </c>
      <c r="BH25" s="48">
        <f t="shared" si="13"/>
        <v>0</v>
      </c>
      <c r="BI25" s="48">
        <f t="array" ref="BI25">IF(BE24&lt;=0,
       tensaogrupo(-BE24,BD$4),
  NA())</f>
        <v>2.7094300836512271</v>
      </c>
      <c r="BJ25" s="3">
        <f>IFERROR(
      (IF(ISNUMBER(BH25),BH25,0)+BI25) / ($I25*(($J25+BI25+IF(ISNUMBER(BH25),BH25,0))/$J25)^CAPA!$F$80),
NA())</f>
        <v>2.996068326841882E-2</v>
      </c>
    </row>
    <row r="26" spans="1:62">
      <c r="A26" s="118" t="str">
        <f xml:space="preserve"> IF(CAPA!F31= ""," ",CAPA!F31)</f>
        <v>D-areia argilosa</v>
      </c>
      <c r="B26" s="2">
        <v>23</v>
      </c>
      <c r="C26" s="48">
        <f>CAPA!D31</f>
        <v>30</v>
      </c>
      <c r="D26" s="48">
        <f>CAPA!E31</f>
        <v>21</v>
      </c>
      <c r="E26" s="119">
        <f>C26*IFERROR(INDEX(Compatibilidade!$G$6:$G$20,MATCH(A26,Compatibilidade!$C$6:$C$20,0)) * INDEX(Compatibilidade!$H$6:$H$20,MATCH(A26,Compatibilidade!$C$6:$C$20,0)),"0")</f>
        <v>49.500000000000007</v>
      </c>
      <c r="F26" s="119"/>
      <c r="G26" s="3">
        <f>IF(B26&gt;CALCULO!$C$28,CALCULO!$C$15,NA())</f>
        <v>0.81681408993334625</v>
      </c>
      <c r="H26" s="3">
        <f>IF(CAPA!$O$60 = "Aoki-Velloso (1975)",CALCULO!S29,
        IF(CAPA!$O$60 = "Décourt-Quaresma (1978)",CALCULO!AG29*CALCULO!AF29,
              IF(CAPA!$O$60 = "Teixeira (1996)",CALCULO!AT29,
                    IF(CAPA!$O$60 = "Média",CALCULO!AT29,0))))</f>
        <v>203.00751879699246</v>
      </c>
      <c r="I26" s="48">
        <f>IFERROR(C26*CALCULO!P29*IF(OR(CALCULO!C$5="C-Pré-moldada",CALCULO!C$5="B-Metálica"),6,IF(CALCULO!C$5="F-Hélice Contínua",4,3)),NA())</f>
        <v>108</v>
      </c>
      <c r="J26" s="48">
        <f>J25+IF(-B26&gt;=CALCULO!C$18,D26,D26-CALCULO!C$19)</f>
        <v>292</v>
      </c>
      <c r="K26" s="48"/>
      <c r="L26" s="48">
        <f>-CAPA!I$89-B26</f>
        <v>-6</v>
      </c>
      <c r="M26" s="48">
        <f t="shared" si="14"/>
        <v>0</v>
      </c>
      <c r="N26" s="160">
        <f t="shared" si="1"/>
        <v>0</v>
      </c>
      <c r="O26" s="48">
        <f>IF(OR(L26&gt;=0,N26&lt;0),NA(),4*N26/(PI()*(CALCULO!$C$8*0.01+(-L26-0.5))^2))</f>
        <v>0</v>
      </c>
      <c r="P26" s="48" cm="1">
        <f t="array" ref="P26">IF(L25&lt;=0,
       tensao(-L25),
  NA())</f>
        <v>4.6351353245023192</v>
      </c>
      <c r="Q26" s="3">
        <f>IFERROR(
      (IF(ISNUMBER(O26),O26,0)+P26) / (I26*((J26+P26+IF(ISNUMBER(O26),O26,0))/J26)^CAPA!F$80),
NA())</f>
        <v>4.2581287930352728E-2</v>
      </c>
      <c r="U26" s="48">
        <f>-CAPA!M$89-B26</f>
        <v>-11</v>
      </c>
      <c r="V26" s="48">
        <f>IF(B26&gt;CALCULO!$C$28,
        IF($H26*(PI()*$T$4/100)&lt;W25, $H26*(PI()*$T$4/100),W25), NA())</f>
        <v>0</v>
      </c>
      <c r="W26" s="160">
        <f t="shared" si="2"/>
        <v>0</v>
      </c>
      <c r="X26" s="48">
        <f t="shared" si="15"/>
        <v>0</v>
      </c>
      <c r="Y26" s="48" cm="1">
        <f t="array" ref="Y26">IF(U25&lt;=0,
       tensaogrupo(-U25,T$4),
  NA())</f>
        <v>2.3785828622125162</v>
      </c>
      <c r="Z26" s="48">
        <f>IFERROR(
      (IF(ISNUMBER(X26),X26,0)+Y26) / ($I26*(($J26+Y26+IF(ISNUMBER(X26),X26,0))/$J26)^CAPA!F$80),
NA())</f>
        <v>2.1934758163142099E-2</v>
      </c>
      <c r="AD26" s="48">
        <f>-CAPA!P$89-$B26</f>
        <v>-15</v>
      </c>
      <c r="AE26" s="48">
        <f>IF($B26&gt;CALCULO!$C$28,
        IF($H26*(PI()*AC$4/100)&lt;AF25, $H26*(PI()*AC$4/100),AF25), NA())</f>
        <v>56.755636154940177</v>
      </c>
      <c r="AF26" s="48">
        <f t="shared" si="4"/>
        <v>56.755636154940177</v>
      </c>
      <c r="AG26" s="48">
        <f t="shared" si="5"/>
        <v>0.30982396455430672</v>
      </c>
      <c r="AH26" s="48" cm="1">
        <f t="array" ref="AH26">IF(AD25&lt;=0,
       tensaogrupo(-AD25,AC$4),
  NA())</f>
        <v>1.7464739357142585</v>
      </c>
      <c r="AI26" s="119">
        <f>IFERROR(
      (IF(ISNUMBER(AG26),AG26,0)+AH26) / ($I26*((J26+AH26+IF(ISNUMBER(AG26),AG26,0))/J26)^CAPA!F$80),
NA())</f>
        <v>1.8973107161740235E-2</v>
      </c>
      <c r="AJ26" s="123"/>
      <c r="AK26" s="123"/>
      <c r="AL26" s="123"/>
      <c r="AM26" s="48">
        <f>-CAPA!S$89-$B26</f>
        <v>-15</v>
      </c>
      <c r="AN26" s="48">
        <f>IF($B26&gt;CALCULO!$C$28,
        IF($H26*(PI()*AL$4/100)&lt;AO25, $H26*(PI()*AL$4/100),AO25), NA())</f>
        <v>0</v>
      </c>
      <c r="AO26" s="48">
        <f t="shared" si="6"/>
        <v>0</v>
      </c>
      <c r="AP26" s="48">
        <f t="shared" si="12"/>
        <v>0</v>
      </c>
      <c r="AQ26" s="48">
        <f t="array" ref="AQ26">IF(AM25&lt;=0,
       tensaogrupo(-AM25,AL$4),
  NA())</f>
        <v>1.6922964595428835</v>
      </c>
      <c r="AR26" s="119">
        <f>IFERROR(
      (IF(ISNUMBER(AP26),AP26,0)+AQ26) / ($I26*((J26+AQ26+IF(ISNUMBER(AP26),AP26,0))/J26)^CAPA!F$80),
NA())</f>
        <v>1.5624201761215305E-2</v>
      </c>
      <c r="AS26" s="122"/>
      <c r="AV26" s="48">
        <f>-CAPA!V$89-$B26</f>
        <v>-16</v>
      </c>
      <c r="AW26" s="48">
        <f>IF($B26&gt;CALCULO!$C$28,
        IF($H26*(PI()*AU$4/100)&lt;AX25, $H26*(PI()*AU$4/100),AX25), NA())</f>
        <v>0</v>
      </c>
      <c r="AX26" s="48">
        <f t="shared" si="7"/>
        <v>0</v>
      </c>
      <c r="AY26" s="48">
        <f t="shared" si="11"/>
        <v>0</v>
      </c>
      <c r="AZ26" s="48">
        <f t="array" ref="AZ26">IF(AV25&lt;=0,
       tensaogrupo(-AV25,AU$4),
  NA())</f>
        <v>1.5022476984596023</v>
      </c>
      <c r="BA26" s="3">
        <f>IFERROR(
      (IF(ISNUMBER(AY26),AY26,0)+AZ26) / ($I26*(($J26+AZ26+IF(ISNUMBER(AY26),AY26,0))/$J26)^CAPA!$F$80),
NA())</f>
        <v>1.3874057874811611E-2</v>
      </c>
      <c r="BB26" s="120"/>
      <c r="BE26" s="48">
        <f>-CAPA!I$15-$B26</f>
        <v>-10</v>
      </c>
      <c r="BF26" s="48">
        <f>IF($B26&gt;CALCULO!$C$28,
        IF($H26*(PI()*BD$4/100)&lt;BG25, $H26*(PI()*BD$4/100),BG25), NA())</f>
        <v>0</v>
      </c>
      <c r="BG26" s="48">
        <f t="shared" si="8"/>
        <v>0</v>
      </c>
      <c r="BH26" s="48">
        <f t="shared" si="13"/>
        <v>0</v>
      </c>
      <c r="BI26" s="48">
        <f t="array" ref="BI26">IF(BE25&lt;=0,
       tensaogrupo(-BE25,BD$4),
  NA())</f>
        <v>2.3785828622125162</v>
      </c>
      <c r="BJ26" s="3">
        <f>IFERROR(
      (IF(ISNUMBER(BH26),BH26,0)+BI26) / ($I26*(($J26+BI26+IF(ISNUMBER(BH26),BH26,0))/$J26)^CAPA!$F$80),
NA())</f>
        <v>2.1934758163142099E-2</v>
      </c>
    </row>
    <row r="27" spans="1:62">
      <c r="A27" s="118" t="str">
        <f xml:space="preserve"> IF(CAPA!F32= ""," ",CAPA!F32)</f>
        <v>D-areia argilosa</v>
      </c>
      <c r="B27" s="2">
        <v>24</v>
      </c>
      <c r="C27" s="48">
        <f>CAPA!D32</f>
        <v>37</v>
      </c>
      <c r="D27" s="48">
        <f>CAPA!E32</f>
        <v>21</v>
      </c>
      <c r="E27" s="119">
        <f>C27*IFERROR(INDEX(Compatibilidade!$G$6:$G$20,MATCH(A27,Compatibilidade!$C$6:$C$20,0)) * INDEX(Compatibilidade!$H$6:$H$20,MATCH(A27,Compatibilidade!$C$6:$C$20,0)),"0")</f>
        <v>61.050000000000004</v>
      </c>
      <c r="F27" s="119"/>
      <c r="G27" s="3">
        <f>IF(B27&gt;CALCULO!$C$28,CALCULO!$C$15,NA())</f>
        <v>0.81681408993334625</v>
      </c>
      <c r="H27" s="3">
        <f>IF(CAPA!$O$60 = "Aoki-Velloso (1975)",CALCULO!S30,
        IF(CAPA!$O$60 = "Décourt-Quaresma (1978)",CALCULO!AG30*CALCULO!AF30,
              IF(CAPA!$O$60 = "Teixeira (1996)",CALCULO!AT30,
                    IF(CAPA!$O$60 = "Média",CALCULO!AT30,0))))</f>
        <v>250.37593984962405</v>
      </c>
      <c r="I27" s="48">
        <f>IFERROR(C27*CALCULO!P30*IF(OR(CALCULO!C$5="C-Pré-moldada",CALCULO!C$5="B-Metálica"),6,IF(CALCULO!C$5="F-Hélice Contínua",4,3)),NA())</f>
        <v>133.19999999999999</v>
      </c>
      <c r="J27" s="48">
        <f>J26+IF(-B27&gt;=CALCULO!C$18,D27,D27-CALCULO!C$19)</f>
        <v>303</v>
      </c>
      <c r="K27" s="48"/>
      <c r="L27" s="48">
        <f>-CAPA!I$89-B27</f>
        <v>-7</v>
      </c>
      <c r="M27" s="48">
        <f t="shared" si="14"/>
        <v>0</v>
      </c>
      <c r="N27" s="160">
        <f t="shared" si="1"/>
        <v>0</v>
      </c>
      <c r="O27" s="48">
        <f>IF(OR(L27&gt;=0,N27&lt;0),NA(),4*N27/(PI()*(CALCULO!$C$8*0.01+(-L27-0.5))^2))</f>
        <v>0</v>
      </c>
      <c r="P27" s="48" cm="1">
        <f t="array" ref="P27">IF(L26&lt;=0,
       tensao(-L26),
  NA())</f>
        <v>3.8780358636518688</v>
      </c>
      <c r="Q27" s="3">
        <f>IFERROR(
      (IF(ISNUMBER(O27),O27,0)+P27) / (I27*((J27+P27+IF(ISNUMBER(O27),O27,0))/J27)^CAPA!F$80),
NA())</f>
        <v>2.8929838389635674E-2</v>
      </c>
      <c r="U27" s="48">
        <f>-CAPA!M$89-B27</f>
        <v>-12</v>
      </c>
      <c r="V27" s="48">
        <f>IF(B27&gt;CALCULO!$C$28,
        IF($H27*(PI()*$T$4/100)&lt;W26, $H27*(PI()*$T$4/100),W26), NA())</f>
        <v>0</v>
      </c>
      <c r="W27" s="160">
        <f t="shared" si="2"/>
        <v>0</v>
      </c>
      <c r="X27" s="48">
        <f t="shared" si="15"/>
        <v>0</v>
      </c>
      <c r="Y27" s="48" cm="1">
        <f t="array" ref="Y27">IF(U26&lt;=0,
       tensaogrupo(-U26,T$4),
  NA())</f>
        <v>2.1056280465530279</v>
      </c>
      <c r="Z27" s="48">
        <f>IFERROR(
      (IF(ISNUMBER(X27),X27,0)+Y27) / ($I27*(($J27+Y27+IF(ISNUMBER(X27),X27,0))/$J27)^CAPA!F$80),
NA())</f>
        <v>1.5753375922897477E-2</v>
      </c>
      <c r="AD27" s="48">
        <f>-CAPA!P$89-$B27</f>
        <v>-16</v>
      </c>
      <c r="AE27" s="48">
        <f>IF($B27&gt;CALCULO!$C$28,
        IF($H27*(PI()*AC$4/100)&lt;AF26, $H27*(PI()*AC$4/100),AF26), NA())</f>
        <v>56.755636154940177</v>
      </c>
      <c r="AF27" s="48">
        <f t="shared" si="4"/>
        <v>56.755636154940177</v>
      </c>
      <c r="AG27" s="48">
        <f t="shared" si="5"/>
        <v>0.27291394108790856</v>
      </c>
      <c r="AH27" s="48" cm="1">
        <f t="array" ref="AH27">IF(AD26&lt;=0,
       tensaogrupo(-AD26,AC$4),
  NA())</f>
        <v>1.5640703105332325</v>
      </c>
      <c r="AI27" s="119">
        <f>IFERROR(
      (IF(ISNUMBER(AG27),AG27,0)+AH27) / ($I27*((J27+AH27+IF(ISNUMBER(AG27),AG27,0))/J27)^CAPA!F$80),
NA())</f>
        <v>1.3749556637095869E-2</v>
      </c>
      <c r="AJ27" s="123"/>
      <c r="AK27" s="123"/>
      <c r="AL27" s="123"/>
      <c r="AM27" s="48">
        <f>-CAPA!S$89-$B27</f>
        <v>-16</v>
      </c>
      <c r="AN27" s="48">
        <f>IF($B27&gt;CALCULO!$C$28,
        IF($H27*(PI()*AL$4/100)&lt;AO26, $H27*(PI()*AL$4/100),AO26), NA())</f>
        <v>0</v>
      </c>
      <c r="AO27" s="48">
        <f t="shared" si="6"/>
        <v>0</v>
      </c>
      <c r="AP27" s="48">
        <f t="shared" si="12"/>
        <v>0</v>
      </c>
      <c r="AQ27" s="48">
        <f t="array" ref="AQ27">IF(AM26&lt;=0,
       tensaogrupo(-AM26,AL$4),
  NA())</f>
        <v>1.5284588374030132</v>
      </c>
      <c r="AR27" s="119">
        <f>IFERROR(
      (IF(ISNUMBER(AP27),AP27,0)+AQ27) / ($I27*((J27+AQ27+IF(ISNUMBER(AP27),AP27,0))/J27)^CAPA!F$80),
NA())</f>
        <v>1.1446083095275473E-2</v>
      </c>
      <c r="AS27" s="122"/>
      <c r="AV27" s="48">
        <f>-CAPA!V$89-$B27</f>
        <v>-17</v>
      </c>
      <c r="AW27" s="48">
        <f>IF($B27&gt;CALCULO!$C$28,
        IF($H27*(PI()*AU$4/100)&lt;AX26, $H27*(PI()*AU$4/100),AX26), NA())</f>
        <v>0</v>
      </c>
      <c r="AX27" s="48">
        <f t="shared" si="7"/>
        <v>0</v>
      </c>
      <c r="AY27" s="48">
        <f t="shared" si="11"/>
        <v>0</v>
      </c>
      <c r="AZ27" s="48">
        <f t="array" ref="AZ27">IF(AV26&lt;=0,
       tensaogrupo(-AV26,AU$4),
  NA())</f>
        <v>1.3652401358847235</v>
      </c>
      <c r="BA27" s="3">
        <f>IFERROR(
      (IF(ISNUMBER(AY27),AY27,0)+AZ27) / ($I27*(($J27+AZ27+IF(ISNUMBER(AY27),AY27,0))/$J27)^CAPA!$F$80),
NA())</f>
        <v>1.022653738869736E-2</v>
      </c>
      <c r="BB27" s="120"/>
      <c r="BE27" s="48">
        <f>-CAPA!I$15-$B27</f>
        <v>-11</v>
      </c>
      <c r="BF27" s="48">
        <f>IF($B27&gt;CALCULO!$C$28,
        IF($H27*(PI()*BD$4/100)&lt;BG26, $H27*(PI()*BD$4/100),BG26), NA())</f>
        <v>0</v>
      </c>
      <c r="BG27" s="48">
        <f t="shared" si="8"/>
        <v>0</v>
      </c>
      <c r="BH27" s="48">
        <f t="shared" si="13"/>
        <v>0</v>
      </c>
      <c r="BI27" s="48">
        <f t="array" ref="BI27">IF(BE26&lt;=0,
       tensaogrupo(-BE26,BD$4),
  NA())</f>
        <v>2.1056280465530279</v>
      </c>
      <c r="BJ27" s="3">
        <f>IFERROR(
      (IF(ISNUMBER(BH27),BH27,0)+BI27) / ($I27*(($J27+BI27+IF(ISNUMBER(BH27),BH27,0))/$J27)^CAPA!$F$80),
NA())</f>
        <v>1.5753375922897477E-2</v>
      </c>
    </row>
    <row r="28" spans="1:62">
      <c r="A28" s="118" t="str">
        <f xml:space="preserve"> IF(CAPA!F33= ""," ",CAPA!F33)</f>
        <v xml:space="preserve"> </v>
      </c>
      <c r="B28" s="2">
        <v>25</v>
      </c>
      <c r="C28" s="48">
        <f>CAPA!D33</f>
        <v>0</v>
      </c>
      <c r="D28" s="48">
        <f>CAPA!E33</f>
        <v>0</v>
      </c>
      <c r="E28" s="119">
        <f>C28*IFERROR(INDEX(Compatibilidade!$G$6:$G$20,MATCH(A28,Compatibilidade!$C$6:$C$20,0)) * INDEX(Compatibilidade!$H$6:$H$20,MATCH(A28,Compatibilidade!$C$6:$C$20,0)),"0")</f>
        <v>0</v>
      </c>
      <c r="F28" s="119"/>
      <c r="G28" s="3">
        <f>IF(B28&gt;CALCULO!$C$28,CALCULO!$C$15,NA())</f>
        <v>0.81681408993334625</v>
      </c>
      <c r="H28" s="3">
        <f>IF(CAPA!$O$60 = "Aoki-Velloso (1975)",CALCULO!S31,
        IF(CAPA!$O$60 = "Décourt-Quaresma (1978)",CALCULO!AG31*CALCULO!AF31,
              IF(CAPA!$O$60 = "Teixeira (1996)",CALCULO!AT31,
                    IF(CAPA!$O$60 = "Média",CALCULO!AT31,0))))</f>
        <v>0</v>
      </c>
      <c r="I28" s="48" t="e">
        <f>IFERROR(C28*CALCULO!P31*IF(OR(CALCULO!C$5="C-Pré-moldada",CALCULO!C$5="B-Metálica"),6,IF(CALCULO!C$5="F-Hélice Contínua",4,3)),NA())</f>
        <v>#N/A</v>
      </c>
      <c r="J28" s="48">
        <f>J27+IF(-B28&gt;=CALCULO!C$18,D28,D28-CALCULO!C$19)</f>
        <v>293</v>
      </c>
      <c r="K28" s="48"/>
      <c r="L28" s="48">
        <f>-CAPA!I$89-B28</f>
        <v>-8</v>
      </c>
      <c r="M28" s="48">
        <f t="shared" si="14"/>
        <v>0</v>
      </c>
      <c r="N28" s="160">
        <f t="shared" si="1"/>
        <v>0</v>
      </c>
      <c r="O28" s="48">
        <f>IF(OR(L28&gt;=0,N28&lt;0),NA(),4*N28/(PI()*(CALCULO!$C$8*0.01+(-L28-0.5))^2))</f>
        <v>0</v>
      </c>
      <c r="P28" s="48" cm="1">
        <f t="array" ref="P28">IF(L27&lt;=0,
       tensao(-L27),
  NA())</f>
        <v>3.2981911644452513</v>
      </c>
      <c r="Q28" s="48" t="e">
        <f>IFERROR(
      (IF(ISNUMBER(O28),O28,0)+P28) / (I28*((J28+P28+IF(ISNUMBER(O28),O28,0))/J28)^CAPA!F$80),
NA())</f>
        <v>#N/A</v>
      </c>
      <c r="U28" s="48">
        <f>-CAPA!M$89-B28</f>
        <v>-13</v>
      </c>
      <c r="V28" s="48">
        <f>IF(B28&gt;CALCULO!$C$28,
        IF($H28*(PI()*$T$4/100)&lt;W27, $H28*(PI()*$T$4/100),W27), NA())</f>
        <v>0</v>
      </c>
      <c r="W28" s="160">
        <f t="shared" si="2"/>
        <v>0</v>
      </c>
      <c r="X28" s="48">
        <f t="shared" si="15"/>
        <v>0</v>
      </c>
      <c r="Y28" s="48" cm="1">
        <f t="array" ref="Y28">IF(U27&lt;=0,
       tensaogrupo(-U27,T$4),
  NA())</f>
        <v>1.8776657500355562</v>
      </c>
      <c r="Z28" s="48" t="e">
        <f>IFERROR(
      (IF(ISNUMBER(X28),X28,0)+Y28) / ($I28*(($J28+Y28+IF(ISNUMBER(X28),X28,0))/$J28)^CAPA!F$80),
NA())</f>
        <v>#N/A</v>
      </c>
      <c r="AD28" s="48">
        <f>-CAPA!P$89-$B28</f>
        <v>-17</v>
      </c>
      <c r="AE28" s="48">
        <f>IF($B28&gt;CALCULO!$C$28,
        IF($H28*(PI()*AC$4/100)&lt;AF27, $H28*(PI()*AC$4/100),AF27), NA())</f>
        <v>0</v>
      </c>
      <c r="AF28" s="48">
        <f t="shared" si="4"/>
        <v>56.755636154940177</v>
      </c>
      <c r="AG28" s="48">
        <f t="shared" si="5"/>
        <v>0.24222725109607332</v>
      </c>
      <c r="AH28" s="48" cm="1">
        <f t="array" ref="AH28">IF(AD27&lt;=0,
       tensaogrupo(-AD27,AC$4),
  NA())</f>
        <v>1.4090766798859391</v>
      </c>
      <c r="AI28" s="119" t="e">
        <f>IFERROR(
      (IF(ISNUMBER(AG28),AG28,0)+AH28) / ($I28*((J28+AH28+IF(ISNUMBER(AG28),AG28,0))/J28)^CAPA!F$80),
NA())</f>
        <v>#N/A</v>
      </c>
      <c r="AJ28" s="123"/>
      <c r="AK28" s="123"/>
      <c r="AL28" s="123"/>
      <c r="AM28" s="48">
        <f>-CAPA!S$89-$B28</f>
        <v>-17</v>
      </c>
      <c r="AN28" s="48">
        <f>IF($B28&gt;CALCULO!$C$28,
        IF($H28*(PI()*AL$4/100)&lt;AO27, $H28*(PI()*AL$4/100),AO27), NA())</f>
        <v>0</v>
      </c>
      <c r="AO28" s="48">
        <f t="shared" si="6"/>
        <v>0</v>
      </c>
      <c r="AP28" s="48">
        <f t="shared" si="12"/>
        <v>0</v>
      </c>
      <c r="AQ28" s="48">
        <f t="array" ref="AQ28">IF(AM27&lt;=0,
       tensaogrupo(-AM27,AL$4),
  NA())</f>
        <v>1.3874674095360549</v>
      </c>
      <c r="AR28" s="48" t="e">
        <f>IFERROR(
      (IF(ISNUMBER(AP28),AP28,0)+AQ28) / ($I28*((J28+AQ28+IF(ISNUMBER(AP28),AP28,0))/J28)^CAPA!F$80),
NA())</f>
        <v>#N/A</v>
      </c>
      <c r="AV28" s="48">
        <f>-CAPA!V$89-$B28</f>
        <v>-18</v>
      </c>
      <c r="AW28" s="48">
        <f>IF($B28&gt;CALCULO!$C$28,
        IF($H28*(PI()*AU$4/100)&lt;AX27, $H28*(PI()*AU$4/100),AX27), NA())</f>
        <v>0</v>
      </c>
      <c r="AX28" s="48">
        <f t="shared" si="7"/>
        <v>0</v>
      </c>
      <c r="AY28" s="48">
        <f t="shared" si="11"/>
        <v>0</v>
      </c>
      <c r="AZ28" s="48">
        <f t="array" ref="AZ28">IF(AV27&lt;=0,
       tensaogrupo(-AV27,AU$4),
  NA())</f>
        <v>1.2462370089874455</v>
      </c>
      <c r="BA28" s="3" t="e">
        <f>IFERROR(
      (IF(ISNUMBER(AY28),AY28,0)+AZ28) / ($I28*(($J28+AZ28+IF(ISNUMBER(AY28),AY28,0))/$J28)^CAPA!$F$80),
NA())</f>
        <v>#N/A</v>
      </c>
      <c r="BE28" s="48">
        <f>-CAPA!I$15-$B28</f>
        <v>-12</v>
      </c>
      <c r="BF28" s="48">
        <f>IF($B28&gt;CALCULO!$C$28,
        IF($H28*(PI()*BD$4/100)&lt;BG27, $H28*(PI()*BD$4/100),BG27), NA())</f>
        <v>0</v>
      </c>
      <c r="BG28" s="48">
        <f t="shared" si="8"/>
        <v>0</v>
      </c>
      <c r="BH28" s="48">
        <f t="shared" si="13"/>
        <v>0</v>
      </c>
      <c r="BI28" s="48">
        <f t="array" ref="BI28">IF(BE27&lt;=0,
       tensaogrupo(-BE27,BD$4),
  NA())</f>
        <v>1.8776657500355562</v>
      </c>
      <c r="BJ28" s="3" t="e">
        <f>IFERROR(
      (IF(ISNUMBER(BH28),BH28,0)+BI28) / ($I28*(($J28+BI28+IF(ISNUMBER(BH28),BH28,0))/$J28)^CAPA!$F$80),
NA())</f>
        <v>#N/A</v>
      </c>
    </row>
    <row r="29" spans="1:62">
      <c r="A29" s="118" t="str">
        <f xml:space="preserve"> IF(CAPA!F34= ""," ",CAPA!F34)</f>
        <v xml:space="preserve"> </v>
      </c>
      <c r="B29" s="2">
        <v>26</v>
      </c>
      <c r="C29" s="48">
        <f>CAPA!D34</f>
        <v>0</v>
      </c>
      <c r="D29" s="48">
        <f>CAPA!E34</f>
        <v>0</v>
      </c>
      <c r="E29" s="119">
        <f>C29*IFERROR(INDEX(Compatibilidade!$G$6:$G$20,MATCH(A29,Compatibilidade!$C$6:$C$20,0)) * INDEX(Compatibilidade!$H$6:$H$20,MATCH(A29,Compatibilidade!$C$6:$C$20,0)),"0")</f>
        <v>0</v>
      </c>
      <c r="F29" s="119"/>
      <c r="G29" s="3">
        <f>IF(B29&gt;CALCULO!$C$28,CALCULO!$C$15,NA())</f>
        <v>0.81681408993334625</v>
      </c>
      <c r="H29" s="3">
        <f>IF(CAPA!$O$60 = "Aoki-Velloso (1975)",CALCULO!S32,
        IF(CAPA!$O$60 = "Décourt-Quaresma (1978)",CALCULO!AG32*CALCULO!AF32,
              IF(CAPA!$O$60 = "Teixeira (1996)",CALCULO!AT32,
                    IF(CAPA!$O$60 = "Média",CALCULO!AT32,0))))</f>
        <v>0</v>
      </c>
      <c r="I29" s="48" t="e">
        <f>IFERROR(C29*CALCULO!P32*IF(OR(CALCULO!C$5="C-Pré-moldada",CALCULO!C$5="B-Metálica"),6,IF(CALCULO!C$5="F-Hélice Contínua",4,3)),NA())</f>
        <v>#N/A</v>
      </c>
      <c r="J29" s="48">
        <f>J28+IF(-B29&gt;=CALCULO!C$18,D29,D29-CALCULO!C$19)</f>
        <v>283</v>
      </c>
      <c r="K29" s="48"/>
      <c r="L29" s="48">
        <f>-CAPA!I$89-B29</f>
        <v>-9</v>
      </c>
      <c r="M29" s="48">
        <f t="shared" si="14"/>
        <v>0</v>
      </c>
      <c r="N29" s="160">
        <f t="shared" si="1"/>
        <v>0</v>
      </c>
      <c r="O29" s="48">
        <f>IF(OR(L29&gt;=0,N29&lt;0),NA(),4*N29/(PI()*(CALCULO!$C$8*0.01+(-L29-0.5))^2))</f>
        <v>0</v>
      </c>
      <c r="P29" s="48" cm="1">
        <f t="array" ref="P29">IF(L28&lt;=0,
       tensao(-L28),
  NA())</f>
        <v>2.8430658980581316</v>
      </c>
      <c r="Q29" s="48" t="e">
        <f>IFERROR(
      (IF(ISNUMBER(O29),O29,0)+P29) / (I29*((J29+P29+IF(ISNUMBER(O29),O29,0))/J29)^CAPA!F$80),
NA())</f>
        <v>#N/A</v>
      </c>
      <c r="U29" s="48">
        <f>-CAPA!M$89-B29</f>
        <v>-14</v>
      </c>
      <c r="V29" s="48">
        <f>IF(B29&gt;CALCULO!$C$28,
        IF($H29*(PI()*$T$4/100)&lt;W28, $H29*(PI()*$T$4/100),W28), NA())</f>
        <v>0</v>
      </c>
      <c r="W29" s="160">
        <f t="shared" si="2"/>
        <v>0</v>
      </c>
      <c r="X29" s="48">
        <f t="shared" si="15"/>
        <v>0</v>
      </c>
      <c r="Y29" s="48" cm="1">
        <f t="array" ref="Y29">IF(U28&lt;=0,
       tensaogrupo(-U28,T$4),
  NA())</f>
        <v>1.685228503315273</v>
      </c>
      <c r="Z29" s="48" t="e">
        <f>IFERROR(
      (IF(ISNUMBER(X29),X29,0)+Y29) / ($I29*(($J29+Y29+IF(ISNUMBER(X29),X29,0))/$J29)^CAPA!F$80),
NA())</f>
        <v>#N/A</v>
      </c>
      <c r="AD29" s="48">
        <f>-CAPA!P$89-$B29</f>
        <v>-18</v>
      </c>
      <c r="AE29" s="48">
        <f>IF($B29&gt;CALCULO!$C$28,
        IF($H29*(PI()*AC$4/100)&lt;AF28, $H29*(PI()*AC$4/100),AF28), NA())</f>
        <v>0</v>
      </c>
      <c r="AF29" s="48">
        <f t="shared" si="4"/>
        <v>56.755636154940177</v>
      </c>
      <c r="AG29" s="48">
        <f t="shared" si="5"/>
        <v>0.21643957886862575</v>
      </c>
      <c r="AH29" s="48" cm="1">
        <f t="array" ref="AH29">IF(AD28&lt;=0,
       tensaogrupo(-AD28,AC$4),
  NA())</f>
        <v>1.2762223736920981</v>
      </c>
      <c r="AI29" s="119" t="e">
        <f>IFERROR(
      (IF(ISNUMBER(AG29),AG29,0)+AH29) / ($I29*((J29+AH29+IF(ISNUMBER(AG29),AG29,0))/J29)^CAPA!F$80),
NA())</f>
        <v>#N/A</v>
      </c>
      <c r="AM29" s="48">
        <f>-CAPA!S$89-$B29</f>
        <v>-18</v>
      </c>
      <c r="AN29" s="48">
        <f>IF($B29&gt;CALCULO!$C$28,
        IF($H29*(PI()*AL$4/100)&lt;AO28, $H29*(PI()*AL$4/100),AO28), NA())</f>
        <v>0</v>
      </c>
      <c r="AO29" s="48">
        <f t="shared" si="6"/>
        <v>0</v>
      </c>
      <c r="AP29" s="48">
        <f t="shared" si="12"/>
        <v>0</v>
      </c>
      <c r="AQ29" s="48">
        <f t="array" ref="AQ29">IF(AM28&lt;=0,
       tensaogrupo(-AM28,AL$4),
  NA())</f>
        <v>1.2652392684452687</v>
      </c>
      <c r="AR29" s="48" t="e">
        <f>IFERROR(
      (IF(ISNUMBER(AP29),AP29,0)+AQ29) / ($I29*((J29+AQ29+IF(ISNUMBER(AP29),AP29,0))/J29)^CAPA!F$80),
NA())</f>
        <v>#N/A</v>
      </c>
      <c r="AV29" s="48">
        <f>-CAPA!V$89-$B29</f>
        <v>-19</v>
      </c>
      <c r="AW29" s="48">
        <f>IF($B29&gt;CALCULO!$C$28,
        IF($H29*(PI()*AU$4/100)&lt;AX28, $H29*(PI()*AU$4/100),AX28), NA())</f>
        <v>0</v>
      </c>
      <c r="AX29" s="48">
        <f t="shared" si="7"/>
        <v>0</v>
      </c>
      <c r="AY29" s="48">
        <f t="shared" si="11"/>
        <v>0</v>
      </c>
      <c r="AZ29" s="48">
        <f t="array" ref="AZ29">IF(AV28&lt;=0,
       tensaogrupo(-AV28,AU$4),
  NA())</f>
        <v>1.1422039567659183</v>
      </c>
      <c r="BA29" s="3" t="e">
        <f>IFERROR(
      (IF(ISNUMBER(AY29),AY29,0)+AZ29) / ($I29*(($J29+AZ29+IF(ISNUMBER(AY29),AY29,0))/$J29)^CAPA!$F$80),
NA())</f>
        <v>#N/A</v>
      </c>
      <c r="BE29" s="48">
        <f>-CAPA!I$15-$B29</f>
        <v>-13</v>
      </c>
      <c r="BF29" s="48">
        <f>IF($B29&gt;CALCULO!$C$28,
        IF($H29*(PI()*BD$4/100)&lt;BG28, $H29*(PI()*BD$4/100),BG28), NA())</f>
        <v>0</v>
      </c>
      <c r="BG29" s="48">
        <f t="shared" si="8"/>
        <v>0</v>
      </c>
      <c r="BH29" s="48">
        <f t="shared" si="13"/>
        <v>0</v>
      </c>
      <c r="BI29" s="48">
        <f t="array" ref="BI29">IF(BE28&lt;=0,
       tensaogrupo(-BE28,BD$4),
  NA())</f>
        <v>1.6852285033152727</v>
      </c>
      <c r="BJ29" s="3" t="e">
        <f>IFERROR(
      (IF(ISNUMBER(BH29),BH29,0)+BI29) / ($I29*(($J29+BI29+IF(ISNUMBER(BH29),BH29,0))/$J29)^CAPA!$F$80),
NA())</f>
        <v>#N/A</v>
      </c>
    </row>
    <row r="30" spans="1:62">
      <c r="A30" s="118" t="str">
        <f xml:space="preserve"> IF(CAPA!F35= ""," ",CAPA!F35)</f>
        <v xml:space="preserve"> </v>
      </c>
      <c r="B30" s="2">
        <v>27</v>
      </c>
      <c r="C30" s="48">
        <f>CAPA!D35</f>
        <v>0</v>
      </c>
      <c r="D30" s="48">
        <f>CAPA!E35</f>
        <v>0</v>
      </c>
      <c r="E30" s="119">
        <f>C30*IFERROR(INDEX(Compatibilidade!$G$6:$G$20,MATCH(A30,Compatibilidade!$C$6:$C$20,0)) * INDEX(Compatibilidade!$H$6:$H$20,MATCH(A30,Compatibilidade!$C$6:$C$20,0)),"0")</f>
        <v>0</v>
      </c>
      <c r="F30" s="119"/>
      <c r="G30" s="3">
        <f>IF(B30&gt;CALCULO!$C$28,CALCULO!$C$15,NA())</f>
        <v>0.81681408993334625</v>
      </c>
      <c r="H30" s="3">
        <f>IF(CAPA!$O$60 = "Aoki-Velloso (1975)",CALCULO!S33,
        IF(CAPA!$O$60 = "Décourt-Quaresma (1978)",CALCULO!AG33*CALCULO!AF33,
              IF(CAPA!$O$60 = "Teixeira (1996)",CALCULO!AT33,
                    IF(CAPA!$O$60 = "Média",CALCULO!AT33,0))))</f>
        <v>0</v>
      </c>
      <c r="I30" s="48" t="e">
        <f>IFERROR(C30*CALCULO!P33*IF(OR(CALCULO!C$5="C-Pré-moldada",CALCULO!C$5="B-Metálica"),6,IF(CALCULO!C$5="F-Hélice Contínua",4,3)),NA())</f>
        <v>#N/A</v>
      </c>
      <c r="J30" s="48">
        <f>J29+IF(-B30&gt;=CALCULO!C$18,D30,D30-CALCULO!C$19)</f>
        <v>273</v>
      </c>
      <c r="K30" s="48"/>
      <c r="L30" s="48">
        <f>-CAPA!I$89-B30</f>
        <v>-10</v>
      </c>
      <c r="M30" s="48">
        <f t="shared" si="14"/>
        <v>0</v>
      </c>
      <c r="N30" s="160">
        <f t="shared" si="1"/>
        <v>0</v>
      </c>
      <c r="O30" s="48">
        <f>IF(OR(L30&gt;=0,N30&lt;0),NA(),4*N30/(PI()*(CALCULO!$C$8*0.01+(-L30-0.5))^2))</f>
        <v>0</v>
      </c>
      <c r="P30" s="48" cm="1">
        <f t="array" ref="P30">IF(L29&lt;=0,
       tensao(-L29),
  NA())</f>
        <v>2.4785466216044139</v>
      </c>
      <c r="Q30" s="48" t="e">
        <f>IFERROR(
      (IF(ISNUMBER(O30),O30,0)+P30) / (I30*((J30+P30+IF(ISNUMBER(O30),O30,0))/J30)^CAPA!F$80),
NA())</f>
        <v>#N/A</v>
      </c>
      <c r="U30" s="48">
        <f>-CAPA!M$89-B30</f>
        <v>-15</v>
      </c>
      <c r="V30" s="48">
        <f>IF(B30&gt;CALCULO!$C$28,
        IF($H30*(PI()*$T$4/100)&lt;W29, $H30*(PI()*$T$4/100),W29), NA())</f>
        <v>0</v>
      </c>
      <c r="W30" s="160">
        <f t="shared" si="2"/>
        <v>0</v>
      </c>
      <c r="X30" s="48">
        <f t="shared" si="15"/>
        <v>0</v>
      </c>
      <c r="Y30" s="48" cm="1">
        <f t="array" ref="Y30">IF(U29&lt;=0,
       tensaogrupo(-U29,T$4),
  NA())</f>
        <v>1.5212336150841967</v>
      </c>
      <c r="Z30" s="48" t="e">
        <f>IFERROR(
      (IF(ISNUMBER(X30),X30,0)+Y30) / ($I30*(($J30+Y30+IF(ISNUMBER(X30),X30,0))/$J30)^CAPA!F$80),
NA())</f>
        <v>#N/A</v>
      </c>
      <c r="AD30" s="48">
        <f>-CAPA!P$89-$B30</f>
        <v>-19</v>
      </c>
      <c r="AE30" s="48">
        <f>IF($B30&gt;CALCULO!$C$28,
        IF($H30*(PI()*AC$4/100)&lt;AF29, $H30*(PI()*AC$4/100),AF29), NA())</f>
        <v>0</v>
      </c>
      <c r="AF30" s="48">
        <f t="shared" si="4"/>
        <v>56.755636154940177</v>
      </c>
      <c r="AG30" s="48">
        <f t="shared" si="5"/>
        <v>0.19456100988117828</v>
      </c>
      <c r="AH30" s="48" cm="1">
        <f t="array" ref="AH30">IF(AD29&lt;=0,
       tensaogrupo(-AD29,AC$4),
  NA())</f>
        <v>1.1614533465119083</v>
      </c>
      <c r="AI30" s="119" t="e">
        <f>IFERROR(
      (IF(ISNUMBER(AG30),AG30,0)+AH30) / ($I30*((J30+AH30+IF(ISNUMBER(AG30),AG30,0))/J30)^CAPA!F$80),
NA())</f>
        <v>#N/A</v>
      </c>
      <c r="AM30" s="48">
        <f>-CAPA!S$89-$B30</f>
        <v>-19</v>
      </c>
      <c r="AN30" s="48">
        <f>IF($B30&gt;CALCULO!$C$28,
        IF($H30*(PI()*AL$4/100)&lt;AO29, $H30*(PI()*AL$4/100),AO29), NA())</f>
        <v>0</v>
      </c>
      <c r="AO30" s="48">
        <f t="shared" si="6"/>
        <v>0</v>
      </c>
      <c r="AP30" s="48">
        <f t="shared" si="12"/>
        <v>0</v>
      </c>
      <c r="AQ30" s="48">
        <f t="array" ref="AQ30">IF(AM29&lt;=0,
       tensaogrupo(-AM29,AL$4),
  NA())</f>
        <v>1.1585690784966227</v>
      </c>
      <c r="AR30" s="48" t="e">
        <f>IFERROR(
      (IF(ISNUMBER(AP30),AP30,0)+AQ30) / ($I30*((J30+AQ30+IF(ISNUMBER(AP30),AP30,0))/J30)^CAPA!F$80),
NA())</f>
        <v>#N/A</v>
      </c>
      <c r="AV30" s="48">
        <f>-CAPA!V$89-$B30</f>
        <v>-20</v>
      </c>
      <c r="AW30" s="48">
        <f>IF($B30&gt;CALCULO!$C$28,
        IF($H30*(PI()*AU$4/100)&lt;AX29, $H30*(PI()*AU$4/100),AX29), NA())</f>
        <v>0</v>
      </c>
      <c r="AX30" s="48">
        <f t="shared" si="7"/>
        <v>0</v>
      </c>
      <c r="AY30" s="48">
        <f t="shared" si="11"/>
        <v>0</v>
      </c>
      <c r="AZ30" s="48">
        <f t="array" ref="AZ30">IF(AV29&lt;=0,
       tensaogrupo(-AV29,AU$4),
  NA())</f>
        <v>1.0507222379401286</v>
      </c>
      <c r="BA30" s="3" t="e">
        <f>IFERROR(
      (IF(ISNUMBER(AY30),AY30,0)+AZ30) / ($I30*(($J30+AZ30+IF(ISNUMBER(AY30),AY30,0))/$J30)^CAPA!$F$80),
NA())</f>
        <v>#N/A</v>
      </c>
      <c r="BE30" s="48">
        <f>-CAPA!I$15-$B30</f>
        <v>-14</v>
      </c>
      <c r="BF30" s="48">
        <f>IF($B30&gt;CALCULO!$C$28,
        IF($H30*(PI()*BD$4/100)&lt;BG29, $H30*(PI()*BD$4/100),BG29), NA())</f>
        <v>0</v>
      </c>
      <c r="BG30" s="48">
        <f t="shared" si="8"/>
        <v>0</v>
      </c>
      <c r="BH30" s="48">
        <f t="shared" si="13"/>
        <v>0</v>
      </c>
      <c r="BI30" s="48">
        <f t="array" ref="BI30">IF(BE29&lt;=0,
       tensaogrupo(-BE29,BD$4),
  NA())</f>
        <v>1.5212336150841967</v>
      </c>
      <c r="BJ30" s="3" t="e">
        <f>IFERROR(
      (IF(ISNUMBER(BH30),BH30,0)+BI30) / ($I30*(($J30+BI30+IF(ISNUMBER(BH30),BH30,0))/$J30)^CAPA!$F$80),
NA())</f>
        <v>#N/A</v>
      </c>
    </row>
    <row r="31" spans="1:62">
      <c r="A31" s="118" t="str">
        <f xml:space="preserve"> IF(CAPA!F36= ""," ",CAPA!F36)</f>
        <v xml:space="preserve"> </v>
      </c>
      <c r="B31" s="2">
        <v>28</v>
      </c>
      <c r="C31" s="48">
        <f>CAPA!D36</f>
        <v>0</v>
      </c>
      <c r="D31" s="48">
        <f>CAPA!E36</f>
        <v>0</v>
      </c>
      <c r="E31" s="119">
        <f>C31*IFERROR(INDEX(Compatibilidade!$G$6:$G$20,MATCH(A31,Compatibilidade!$C$6:$C$20,0)) * INDEX(Compatibilidade!$H$6:$H$20,MATCH(A31,Compatibilidade!$C$6:$C$20,0)),"0")</f>
        <v>0</v>
      </c>
      <c r="F31" s="119"/>
      <c r="G31" s="3">
        <f>IF(B31&gt;CALCULO!$C$28,CALCULO!$C$15,NA())</f>
        <v>0.81681408993334625</v>
      </c>
      <c r="H31" s="3">
        <f>IF(CAPA!$O$60 = "Aoki-Velloso (1975)",CALCULO!S34,
        IF(CAPA!$O$60 = "Décourt-Quaresma (1978)",CALCULO!AG34*CALCULO!AF34,
              IF(CAPA!$O$60 = "Teixeira (1996)",CALCULO!AT34,
                    IF(CAPA!$O$60 = "Média",CALCULO!AT34,0))))</f>
        <v>0</v>
      </c>
      <c r="I31" s="48" t="e">
        <f>IFERROR(C31*CALCULO!P34*IF(OR(CALCULO!C$5="C-Pré-moldada",CALCULO!C$5="B-Metálica"),6,IF(CALCULO!C$5="F-Hélice Contínua",4,3)),NA())</f>
        <v>#N/A</v>
      </c>
      <c r="J31" s="48">
        <f>J30+IF(-B31&gt;=CALCULO!C$18,D31,D31-CALCULO!C$19)</f>
        <v>263</v>
      </c>
      <c r="K31" s="48"/>
      <c r="L31" s="48">
        <f>-CAPA!I$89-B31</f>
        <v>-11</v>
      </c>
      <c r="M31" s="48">
        <f t="shared" si="14"/>
        <v>0</v>
      </c>
      <c r="N31" s="160">
        <f t="shared" si="1"/>
        <v>0</v>
      </c>
      <c r="O31" s="48">
        <f>IF(OR(L31&gt;=0,N31&lt;0),NA(),4*N31/(PI()*(CALCULO!$C$8*0.01+(-L31-0.5))^2))</f>
        <v>0</v>
      </c>
      <c r="P31" s="48" cm="1">
        <f t="array" ref="P31">IF(L30&lt;=0,
       tensao(-L30),
  NA())</f>
        <v>2.1816116379547679</v>
      </c>
      <c r="Q31" s="48" t="e">
        <f>IFERROR(
      (IF(ISNUMBER(O31),O31,0)+P31) / (I31*((J31+P31+IF(ISNUMBER(O31),O31,0))/J31)^CAPA!F$80),
NA())</f>
        <v>#N/A</v>
      </c>
      <c r="U31" s="48">
        <f>-CAPA!M$89-B31</f>
        <v>-16</v>
      </c>
      <c r="V31" s="48">
        <f>IF(B31&gt;CALCULO!$C$28,
        IF($H31*(PI()*$T$4/100)&lt;W30, $H31*(PI()*$T$4/100),W30), NA())</f>
        <v>0</v>
      </c>
      <c r="W31" s="160">
        <f t="shared" si="2"/>
        <v>0</v>
      </c>
      <c r="X31" s="48">
        <f t="shared" si="15"/>
        <v>0</v>
      </c>
      <c r="Y31" s="48" cm="1">
        <f t="array" ref="Y31">IF(U30&lt;=0,
       tensaogrupo(-U30,T$4),
  NA())</f>
        <v>1.3802924581366862</v>
      </c>
      <c r="Z31" s="48" t="e">
        <f>IFERROR(
      (IF(ISNUMBER(X31),X31,0)+Y31) / ($I31*(($J31+Y31+IF(ISNUMBER(X31),X31,0))/$J31)^CAPA!F$80),
NA())</f>
        <v>#N/A</v>
      </c>
      <c r="AD31" s="48">
        <f>-CAPA!P$89-$B31</f>
        <v>-20</v>
      </c>
      <c r="AE31" s="48">
        <f>IF($B31&gt;CALCULO!$C$28,
        IF($H31*(PI()*AC$4/100)&lt;AF30, $H31*(PI()*AC$4/100),AF30), NA())</f>
        <v>0</v>
      </c>
      <c r="AF31" s="48">
        <f t="shared" si="4"/>
        <v>56.755636154940177</v>
      </c>
      <c r="AG31" s="48">
        <f t="shared" si="5"/>
        <v>0.17583959331642662</v>
      </c>
      <c r="AH31" s="48" cm="1">
        <f t="array" ref="AH31">IF(AD30&lt;=0,
       tensaogrupo(-AD30,AC$4),
  NA())</f>
        <v>1.061608302267147</v>
      </c>
      <c r="AI31" s="119" t="e">
        <f>IFERROR(
      (IF(ISNUMBER(AG31),AG31,0)+AH31) / ($I31*((J31+AH31+IF(ISNUMBER(AG31),AG31,0))/J31)^CAPA!F$80),
NA())</f>
        <v>#N/A</v>
      </c>
      <c r="AM31" s="48">
        <f>-CAPA!S$89-$B31</f>
        <v>-20</v>
      </c>
      <c r="AN31" s="48">
        <f>IF($B31&gt;CALCULO!$C$28,
        IF($H31*(PI()*AL$4/100)&lt;AO30, $H31*(PI()*AL$4/100),AO30), NA())</f>
        <v>0</v>
      </c>
      <c r="AO31" s="48">
        <f t="shared" si="6"/>
        <v>0</v>
      </c>
      <c r="AP31" s="48">
        <f>IF(OR(AM31&gt;=0,AO31&lt;0),NA(),4*AO31/(PI()*(AL$4*0.01+(-AM31-0.5))^2))</f>
        <v>0</v>
      </c>
      <c r="AQ31" s="48">
        <f t="array" ref="AQ31">IF(AM30&lt;=0,
       tensaogrupo(-AM30,AL$4),
  NA())</f>
        <v>1.0649110816544813</v>
      </c>
      <c r="AR31" s="48" t="e">
        <f>IFERROR(
      (IF(ISNUMBER(AP31),AP31,0)+AQ31) / ($I31*((J31+AQ31+IF(ISNUMBER(AP31),AP31,0))/J31)^CAPA!F$80),
NA())</f>
        <v>#N/A</v>
      </c>
      <c r="AV31" s="48">
        <f>-CAPA!V$89-$B31</f>
        <v>-21</v>
      </c>
      <c r="AW31" s="48">
        <f>IF($B31&gt;CALCULO!$C$28,
        IF($H31*(PI()*AU$4/100)&lt;AX30, $H31*(PI()*AU$4/100),AX30), NA())</f>
        <v>0</v>
      </c>
      <c r="AX31" s="48">
        <f t="shared" si="7"/>
        <v>0</v>
      </c>
      <c r="AY31" s="48">
        <f t="shared" si="11"/>
        <v>0</v>
      </c>
      <c r="AZ31" s="48">
        <f t="array" ref="AZ31">IF(AV30&lt;=0,
       tensaogrupo(-AV30,AU$4),
  NA())</f>
        <v>0.96984422490862876</v>
      </c>
      <c r="BA31" s="3" t="e">
        <f>IFERROR(
      (IF(ISNUMBER(AY31),AY31,0)+AZ31) / ($I31*(($J31+AZ31+IF(ISNUMBER(AY31),AY31,0))/$J31)^CAPA!$F$80),
NA())</f>
        <v>#N/A</v>
      </c>
      <c r="BE31" s="48">
        <f>-CAPA!I$15-$B31</f>
        <v>-15</v>
      </c>
      <c r="BF31" s="48">
        <f>IF($B31&gt;CALCULO!$C$28,
        IF($H31*(PI()*BD$4/100)&lt;BG30, $H31*(PI()*BD$4/100),BG30), NA())</f>
        <v>0</v>
      </c>
      <c r="BG31" s="48">
        <f t="shared" si="8"/>
        <v>0</v>
      </c>
      <c r="BH31" s="48">
        <f t="shared" si="13"/>
        <v>0</v>
      </c>
      <c r="BI31" s="48">
        <f t="array" ref="BI31">IF(BE30&lt;=0,
       tensaogrupo(-BE30,BD$4),
  NA())</f>
        <v>1.3802924581366862</v>
      </c>
      <c r="BJ31" s="3" t="e">
        <f>IFERROR(
      (IF(ISNUMBER(BH31),BH31,0)+BI31) / ($I31*(($J31+BI31+IF(ISNUMBER(BH31),BH31,0))/$J31)^CAPA!$F$80),
NA())</f>
        <v>#N/A</v>
      </c>
    </row>
    <row r="32" spans="1:62">
      <c r="A32" s="118" t="str">
        <f xml:space="preserve"> IF(CAPA!F37= ""," ",CAPA!F37)</f>
        <v xml:space="preserve"> </v>
      </c>
      <c r="B32" s="2">
        <v>29</v>
      </c>
      <c r="C32" s="48">
        <f>CAPA!D37</f>
        <v>0</v>
      </c>
      <c r="D32" s="48">
        <f>CAPA!E37</f>
        <v>0</v>
      </c>
      <c r="E32" s="119">
        <f>C32*IFERROR(INDEX(Compatibilidade!$G$6:$G$20,MATCH(A32,Compatibilidade!$C$6:$C$20,0)) * INDEX(Compatibilidade!$H$6:$H$20,MATCH(A32,Compatibilidade!$C$6:$C$20,0)),"0")</f>
        <v>0</v>
      </c>
      <c r="F32" s="119"/>
      <c r="G32" s="3">
        <f>IF(B32&gt;CALCULO!$C$28,CALCULO!$C$15,NA())</f>
        <v>0.81681408993334625</v>
      </c>
      <c r="H32" s="3">
        <f>IF(CAPA!$O$60 = "Aoki-Velloso (1975)",CALCULO!S35,
        IF(CAPA!$O$60 = "Décourt-Quaresma (1978)",CALCULO!AG35*CALCULO!AF35,
              IF(CAPA!$O$60 = "Teixeira (1996)",CALCULO!AT35,
                    IF(CAPA!$O$60 = "Média",CALCULO!AT35,0))))</f>
        <v>0</v>
      </c>
      <c r="I32" s="48" t="e">
        <f>IFERROR(C32*CALCULO!P35*IF(OR(CALCULO!C$5="C-Pré-moldada",CALCULO!C$5="B-Metálica"),6,IF(CALCULO!C$5="F-Hélice Contínua",4,3)),NA())</f>
        <v>#N/A</v>
      </c>
      <c r="J32" s="48">
        <f>J31+IF(-B32&gt;=CALCULO!C$18,D32,D32-CALCULO!C$19)</f>
        <v>253</v>
      </c>
      <c r="K32" s="48"/>
      <c r="L32" s="48">
        <f>-CAPA!I$89-B32</f>
        <v>-12</v>
      </c>
      <c r="M32" s="48">
        <f t="shared" si="14"/>
        <v>0</v>
      </c>
      <c r="N32" s="160">
        <f t="shared" si="1"/>
        <v>0</v>
      </c>
      <c r="O32" s="48">
        <f>IF(OR(L32&gt;=0,N32&lt;0),NA(),4*N32/(PI()*(CALCULO!$C$8*0.01+(-L32-0.5))^2))</f>
        <v>0</v>
      </c>
      <c r="P32" s="48" cm="1">
        <f t="array" ref="P32">IF(L31&lt;=0,
       tensao(-L31),
  NA())</f>
        <v>1.9362198827867696</v>
      </c>
      <c r="Q32" s="48" t="e">
        <f>IFERROR(
      (IF(ISNUMBER(O32),O32,0)+P32) / (I32*((J32+P32+IF(ISNUMBER(O32),O32,0))/J32)^CAPA!F$80),
NA())</f>
        <v>#N/A</v>
      </c>
      <c r="U32" s="48">
        <f>-CAPA!M$89-B32</f>
        <v>-17</v>
      </c>
      <c r="V32" s="48">
        <f>IF(B32&gt;CALCULO!$C$28,
        IF($H32*(PI()*$T$4/100)&lt;W31, $H32*(PI()*$T$4/100),W31), NA())</f>
        <v>0</v>
      </c>
      <c r="W32" s="160">
        <f t="shared" si="2"/>
        <v>0</v>
      </c>
      <c r="X32" s="48">
        <f t="shared" si="15"/>
        <v>0</v>
      </c>
      <c r="Y32" s="48" cm="1">
        <f t="array" ref="Y32">IF(U31&lt;=0,
       tensaogrupo(-U31,T$4),
  NA())</f>
        <v>1.2582435723207723</v>
      </c>
      <c r="Z32" s="48" t="e">
        <f>IFERROR(
      (IF(ISNUMBER(X32),X32,0)+Y32) / ($I32*(($J32+Y32+IF(ISNUMBER(X32),X32,0))/$J32)^CAPA!F$80),
NA())</f>
        <v>#N/A</v>
      </c>
      <c r="AD32" s="48">
        <f>-CAPA!P$89-$B32</f>
        <v>-21</v>
      </c>
      <c r="AE32" s="48">
        <f>IF($B32&gt;CALCULO!$C$28,
        IF($H32*(PI()*AC$4/100)&lt;AF31, $H32*(PI()*AC$4/100),AF31), NA())</f>
        <v>0</v>
      </c>
      <c r="AF32" s="48">
        <f t="shared" si="4"/>
        <v>56.755636154940177</v>
      </c>
      <c r="AG32" s="48">
        <f t="shared" si="5"/>
        <v>0.15969585792038721</v>
      </c>
      <c r="AH32" s="48" cm="1">
        <f t="array" ref="AH32">IF(AD31&lt;=0,
       tensaogrupo(-AD31,AC$4),
  NA())</f>
        <v>0.97419156976240573</v>
      </c>
      <c r="AI32" s="119" t="e">
        <f>IFERROR(
      (IF(ISNUMBER(AG32),AG32,0)+AH32) / ($I32*((J32+AH32+IF(ISNUMBER(AG32),AG32,0))/J32)^CAPA!F$80),
NA())</f>
        <v>#N/A</v>
      </c>
      <c r="AM32" s="48">
        <f>-CAPA!S$89-$B32</f>
        <v>-21</v>
      </c>
      <c r="AN32" s="48">
        <f>IF($B32&gt;CALCULO!$C$28,
        IF($H32*(PI()*AL$4/100)&lt;AO31, $H32*(PI()*AL$4/100),AO31), NA())</f>
        <v>0</v>
      </c>
      <c r="AO32" s="48">
        <f t="shared" si="6"/>
        <v>0</v>
      </c>
      <c r="AP32" s="48">
        <f>IF(OR(AM32&gt;=0,AO32&lt;0),NA(),4*AO32/(PI()*(AL$4*0.01+(-AM32-0.5))^2))</f>
        <v>0</v>
      </c>
      <c r="AQ32" s="48">
        <f t="array" ref="AQ32">IF(AM31&lt;=0,
       tensaogrupo(-AM31,AL$4),
  NA())</f>
        <v>0.9822220056087072</v>
      </c>
      <c r="AR32" s="48" t="e">
        <f>IFERROR(
      (IF(ISNUMBER(AP32),AP32,0)+AQ32) / ($I32*((J32+AQ32+IF(ISNUMBER(AP32),AP32,0))/J32)^CAPA!F$80),
NA())</f>
        <v>#N/A</v>
      </c>
      <c r="AV32" s="48">
        <f>-CAPA!V$89-$B32</f>
        <v>-22</v>
      </c>
      <c r="AW32" s="48">
        <f>IF($B32&gt;CALCULO!$C$28,
        IF($H32*(PI()*AU$4/100)&lt;AX31, $H32*(PI()*AU$4/100),AX31), NA())</f>
        <v>0</v>
      </c>
      <c r="AX32" s="48">
        <f t="shared" si="7"/>
        <v>0</v>
      </c>
      <c r="AY32" s="48">
        <f t="shared" si="11"/>
        <v>0</v>
      </c>
      <c r="AZ32" s="48">
        <f t="array" ref="AZ32">IF(AV31&lt;=0,
       tensaogrupo(-AV31,AU$4),
  NA())</f>
        <v>0.89798709416691391</v>
      </c>
      <c r="BA32" s="3" t="e">
        <f>IFERROR(
      (IF(ISNUMBER(AY32),AY32,0)+AZ32) / ($I32*(($J32+AZ32+IF(ISNUMBER(AY32),AY32,0))/$J32)^CAPA!$F$80),
NA())</f>
        <v>#N/A</v>
      </c>
      <c r="BE32" s="48">
        <f>-CAPA!I$15-$B32</f>
        <v>-16</v>
      </c>
      <c r="BF32" s="48">
        <f>IF($B32&gt;CALCULO!$C$28,
        IF($H32*(PI()*BD$4/100)&lt;BG31, $H32*(PI()*BD$4/100),BG31), NA())</f>
        <v>0</v>
      </c>
      <c r="BG32" s="48">
        <f t="shared" si="8"/>
        <v>0</v>
      </c>
      <c r="BH32" s="48">
        <f t="shared" si="13"/>
        <v>0</v>
      </c>
      <c r="BI32" s="48">
        <f t="array" ref="BI32">IF(BE31&lt;=0,
       tensaogrupo(-BE31,BD$4),
  NA())</f>
        <v>1.2582435723207723</v>
      </c>
      <c r="BJ32" s="3" t="e">
        <f>IFERROR(
      (IF(ISNUMBER(BH32),BH32,0)+BI32) / ($I32*(($J32+BI32+IF(ISNUMBER(BH32),BH32,0))/$J32)^CAPA!$F$80),
NA())</f>
        <v>#N/A</v>
      </c>
    </row>
    <row r="33" spans="1:62">
      <c r="A33" s="118" t="str">
        <f xml:space="preserve"> IF(CAPA!F38= ""," ",CAPA!F38)</f>
        <v xml:space="preserve"> </v>
      </c>
      <c r="B33" s="2">
        <v>30</v>
      </c>
      <c r="C33" s="48">
        <f>CAPA!D38</f>
        <v>0</v>
      </c>
      <c r="D33" s="48">
        <f>CAPA!E38</f>
        <v>0</v>
      </c>
      <c r="E33" s="119">
        <f>C33*IFERROR(INDEX(Compatibilidade!$G$6:$G$20,MATCH(A33,Compatibilidade!$C$6:$C$20,0)) * INDEX(Compatibilidade!$H$6:$H$20,MATCH(A33,Compatibilidade!$C$6:$C$20,0)),"0")</f>
        <v>0</v>
      </c>
      <c r="F33" s="119"/>
      <c r="G33" s="3">
        <f>IF(B33&gt;CALCULO!$C$28,CALCULO!$C$15,NA())</f>
        <v>0.81681408993334625</v>
      </c>
      <c r="H33" s="3">
        <f>IF(CAPA!$O$60 = "Aoki-Velloso (1975)",CALCULO!S36,
        IF(CAPA!$O$60 = "Décourt-Quaresma (1978)",CALCULO!AG36*CALCULO!AF36,
              IF(CAPA!$O$60 = "Teixeira (1996)",CALCULO!AT36,
                    IF(CAPA!$O$60 = "Média",CALCULO!AT36,0))))</f>
        <v>0</v>
      </c>
      <c r="I33" s="48" t="e">
        <f>IFERROR(C33*CALCULO!P36*IF(OR(CALCULO!C$5="C-Pré-moldada",CALCULO!C$5="B-Metálica"),6,IF(CALCULO!C$5="F-Hélice Contínua",4,3)),NA())</f>
        <v>#N/A</v>
      </c>
      <c r="J33" s="48">
        <f>J32+IF(-B33&gt;=CALCULO!C$18,D33,D33-CALCULO!C$19)</f>
        <v>243</v>
      </c>
      <c r="K33" s="48"/>
      <c r="L33" s="48">
        <f>-CAPA!I$89-B33</f>
        <v>-13</v>
      </c>
      <c r="M33" s="48">
        <f t="shared" si="14"/>
        <v>0</v>
      </c>
      <c r="N33" s="160">
        <f t="shared" si="1"/>
        <v>0</v>
      </c>
      <c r="O33" s="48">
        <f>IF(OR(L33&gt;=0,N33&lt;0),NA(),4*N33/(PI()*(CALCULO!$C$8*0.01+(-L33-0.5))^2))</f>
        <v>0</v>
      </c>
      <c r="P33" s="48" cm="1">
        <f t="array" ref="P33">IF(L32&lt;=0,
       tensao(-L32),
  NA())</f>
        <v>1.7308887282086913</v>
      </c>
      <c r="Q33" s="48" t="e">
        <f>IFERROR(
      (IF(ISNUMBER(O33),O33,0)+P33) / (I33*((J33+P33+IF(ISNUMBER(O33),O33,0))/J33)^CAPA!F$80),
NA())</f>
        <v>#N/A</v>
      </c>
      <c r="U33" s="48">
        <f>-CAPA!M$89-B33</f>
        <v>-18</v>
      </c>
      <c r="V33" s="48">
        <f>IF(B33&gt;CALCULO!$C$28,
        IF($H33*(PI()*$T$4/100)&lt;W32, $H33*(PI()*$T$4/100),W32), NA())</f>
        <v>0</v>
      </c>
      <c r="W33" s="160">
        <f t="shared" si="2"/>
        <v>0</v>
      </c>
      <c r="X33" s="48">
        <f t="shared" si="15"/>
        <v>0</v>
      </c>
      <c r="Y33" s="48" cm="1">
        <f t="array" ref="Y33">IF(U32&lt;=0,
       tensaogrupo(-U32,T$4),
  NA())</f>
        <v>1.151830026285324</v>
      </c>
      <c r="Z33" s="48" t="e">
        <f>IFERROR(
      (IF(ISNUMBER(X33),X33,0)+Y33) / ($I33*(($J33+Y33+IF(ISNUMBER(X33),X33,0))/$J33)^CAPA!F$80),
NA())</f>
        <v>#N/A</v>
      </c>
      <c r="AD33" s="48">
        <f>-CAPA!P$89-$B33</f>
        <v>-22</v>
      </c>
      <c r="AE33" s="48">
        <f>IF($B33&gt;CALCULO!$C$28,
        IF($H33*(PI()*AC$4/100)&lt;AF32, $H33*(PI()*AC$4/100),AF32), NA())</f>
        <v>0</v>
      </c>
      <c r="AF33" s="48">
        <f t="shared" si="4"/>
        <v>56.755636154940177</v>
      </c>
      <c r="AG33" s="48">
        <f t="shared" si="5"/>
        <v>0.1456774263882275</v>
      </c>
      <c r="AH33" s="48" cm="1">
        <f t="array" ref="AH33">IF(AD32&lt;=0,
       tensaogrupo(-AD32,AC$4),
  NA())</f>
        <v>0.89721092982007633</v>
      </c>
      <c r="AI33" s="119" t="e">
        <f>IFERROR(
      (IF(ISNUMBER(AG33),AG33,0)+AH33) / ($I33*((J33+AH33+IF(ISNUMBER(AG33),AG33,0))/J33)^CAPA!F$80),
NA())</f>
        <v>#N/A</v>
      </c>
      <c r="AM33" s="48">
        <f>-CAPA!S$89-$B33</f>
        <v>-22</v>
      </c>
      <c r="AN33" s="48">
        <f>IF($B33&gt;CALCULO!$C$28,
        IF($H33*(PI()*AL$4/100)&lt;AO32, $H33*(PI()*AL$4/100),AO32), NA())</f>
        <v>0</v>
      </c>
      <c r="AO33" s="48">
        <f t="shared" si="6"/>
        <v>0</v>
      </c>
      <c r="AP33" s="48">
        <f>IF(OR(AM33&gt;=0,AO33&lt;0),NA(),4*AO33/(PI()*(AL$4*0.01+(-AM33-0.5))^2))</f>
        <v>0</v>
      </c>
      <c r="AQ33" s="48">
        <f t="array" ref="AQ33">IF(AM32&lt;=0,
       tensaogrupo(-AM32,AL$4),
  NA())</f>
        <v>0.90884611139353122</v>
      </c>
      <c r="AR33" s="48" t="e">
        <f>IFERROR(
      (IF(ISNUMBER(AP33),AP33,0)+AQ33) / ($I33*((J33+AQ33+IF(ISNUMBER(AP33),AP33,0))/J33)^CAPA!F$80),
NA())</f>
        <v>#N/A</v>
      </c>
      <c r="AV33" s="48">
        <f>-CAPA!V$89-$B33</f>
        <v>-23</v>
      </c>
      <c r="AW33" s="48">
        <f>IF($B33&gt;CALCULO!$C$28,
        IF($H33*(PI()*AU$4/100)&lt;AX32, $H33*(PI()*AU$4/100),AX32), NA())</f>
        <v>0</v>
      </c>
      <c r="AX33" s="48">
        <f t="shared" si="7"/>
        <v>0</v>
      </c>
      <c r="AY33" s="48">
        <f t="shared" si="11"/>
        <v>0</v>
      </c>
      <c r="AZ33" s="48">
        <f t="array" ref="AZ33">IF(AV32&lt;=0,
       tensaogrupo(-AV32,AU$4),
  NA())</f>
        <v>0.83385356477659422</v>
      </c>
      <c r="BA33" s="3" t="e">
        <f>IFERROR(
      (IF(ISNUMBER(AY33),AY33,0)+AZ33) / ($I33*(($J33+AZ33+IF(ISNUMBER(AY33),AY33,0))/$J33)^CAPA!$F$80),
NA())</f>
        <v>#N/A</v>
      </c>
      <c r="BE33" s="48">
        <f>-CAPA!I$15-$B33</f>
        <v>-17</v>
      </c>
      <c r="BF33" s="48">
        <f>IF($B33&gt;CALCULO!$C$28,
        IF($H33*(PI()*BD$4/100)&lt;BG32, $H33*(PI()*BD$4/100),BG32), NA())</f>
        <v>0</v>
      </c>
      <c r="BG33" s="48">
        <f t="shared" si="8"/>
        <v>0</v>
      </c>
      <c r="BH33" s="48">
        <f t="shared" si="13"/>
        <v>0</v>
      </c>
      <c r="BI33" s="48">
        <f t="array" ref="BI33">IF(BE32&lt;=0,
       tensaogrupo(-BE32,BD$4),
  NA())</f>
        <v>1.151830026285324</v>
      </c>
      <c r="BJ33" s="3" t="e">
        <f>IFERROR(
      (IF(ISNUMBER(BH33),BH33,0)+BI33) / ($I33*(($J33+BI33+IF(ISNUMBER(BH33),BH33,0))/$J33)^CAPA!$F$80),
NA())</f>
        <v>#N/A</v>
      </c>
    </row>
    <row r="34" spans="1:62">
      <c r="A34" s="118" t="str">
        <f xml:space="preserve"> IF(CAPA!F39= ""," ",CAPA!F39)</f>
        <v xml:space="preserve"> </v>
      </c>
      <c r="B34" s="2">
        <v>31</v>
      </c>
      <c r="C34" s="48">
        <f>CAPA!D39</f>
        <v>0</v>
      </c>
      <c r="D34" s="48">
        <f>CAPA!E39</f>
        <v>0</v>
      </c>
      <c r="E34" s="119">
        <f>C34*IFERROR(INDEX(Compatibilidade!$G$6:$G$20,MATCH(A34,Compatibilidade!$C$6:$C$20,0)) * INDEX(Compatibilidade!$H$6:$H$20,MATCH(A34,Compatibilidade!$C$6:$C$20,0)),"0")</f>
        <v>0</v>
      </c>
      <c r="F34" s="119"/>
      <c r="G34" s="3">
        <f>IF(B34&gt;CALCULO!$C$28,CALCULO!$C$15,NA())</f>
        <v>0.81681408993334625</v>
      </c>
      <c r="H34" s="3">
        <f>IF(CAPA!$O$60 = "Aoki-Velloso (1975)",CALCULO!S37,
        IF(CAPA!$O$60 = "Décourt-Quaresma (1978)",CALCULO!AG37*CALCULO!AF37,
              IF(CAPA!$O$60 = "Teixeira (1996)",CALCULO!AT37,
                    IF(CAPA!$O$60 = "Média",CALCULO!AT37,0))))</f>
        <v>0</v>
      </c>
      <c r="I34" s="48" t="e">
        <f>IFERROR(C34*CALCULO!P37*IF(OR(CALCULO!C$5="C-Pré-moldada",CALCULO!C$5="B-Metálica"),6,IF(CALCULO!C$5="F-Hélice Contínua",4,3)),NA())</f>
        <v>#N/A</v>
      </c>
      <c r="J34" s="48">
        <f>J33+IF(-B34&gt;=CALCULO!C$18,D34,D34-CALCULO!C$19)</f>
        <v>233</v>
      </c>
      <c r="K34" s="48"/>
      <c r="L34" s="48">
        <f>-CAPA!I$89-B34</f>
        <v>-14</v>
      </c>
      <c r="M34" s="48">
        <f t="shared" si="14"/>
        <v>0</v>
      </c>
      <c r="N34" s="160">
        <f t="shared" si="1"/>
        <v>0</v>
      </c>
      <c r="O34" s="48">
        <f>IF(OR(L34&gt;=0,N34&lt;0),NA(),4*N34/(PI()*(CALCULO!$C$8*0.01+(-L34-0.5))^2))</f>
        <v>0</v>
      </c>
      <c r="P34" s="48" cm="1">
        <f t="array" ref="P34">IF(L33&lt;=0,
       tensao(-L33),
  NA())</f>
        <v>1.5572067565255023</v>
      </c>
      <c r="Q34" s="48" t="e">
        <f>IFERROR(
      (IF(ISNUMBER(O34),O34,0)+P34) / (I34*((J34+P34+IF(ISNUMBER(O34),O34,0))/J34)^CAPA!F$80),
NA())</f>
        <v>#N/A</v>
      </c>
      <c r="U34" s="48">
        <f>-CAPA!M$89-B34</f>
        <v>-19</v>
      </c>
      <c r="V34" s="48">
        <f>IF(B34&gt;CALCULO!$C$28,
        IF($H34*(PI()*$T$4/100)&lt;W33, $H34*(PI()*$T$4/100),W33), NA())</f>
        <v>0</v>
      </c>
      <c r="W34" s="160">
        <f t="shared" si="2"/>
        <v>0</v>
      </c>
      <c r="X34" s="48">
        <f t="shared" si="15"/>
        <v>0</v>
      </c>
      <c r="Y34" s="48" cm="1">
        <f t="array" ref="Y34">IF(U33&lt;=0,
       tensaogrupo(-U33,T$4),
  NA())</f>
        <v>1.0584720488300949</v>
      </c>
      <c r="Z34" s="48" t="e">
        <f>IFERROR(
      (IF(ISNUMBER(X34),X34,0)+Y34) / ($I34*(($J34+Y34+IF(ISNUMBER(X34),X34,0))/$J34)^CAPA!F$80),
NA())</f>
        <v>#N/A</v>
      </c>
      <c r="AD34" s="48">
        <f>-CAPA!P$89-$B34</f>
        <v>-23</v>
      </c>
      <c r="AE34" s="48">
        <f>IF($B34&gt;CALCULO!$C$28,
        IF($H34*(PI()*AC$4/100)&lt;AF33, $H34*(PI()*AC$4/100),AF33), NA())</f>
        <v>0</v>
      </c>
      <c r="AF34" s="48">
        <f t="shared" si="4"/>
        <v>56.755636154940177</v>
      </c>
      <c r="AG34" s="48">
        <f t="shared" si="5"/>
        <v>0.13342697546298937</v>
      </c>
      <c r="AH34" s="48" cm="1">
        <f t="array" ref="AH34">IF(AD33&lt;=0,
       tensaogrupo(-AD33,AC$4),
  NA())</f>
        <v>0.82905992463395695</v>
      </c>
      <c r="AI34" s="119" t="e">
        <f>IFERROR(
      (IF(ISNUMBER(AG34),AG34,0)+AH34) / ($I34*((J34+AH34+IF(ISNUMBER(AG34),AG34,0))/J34)^CAPA!F$80),
NA())</f>
        <v>#N/A</v>
      </c>
      <c r="AM34" s="48">
        <f>-CAPA!S$89-$B34</f>
        <v>-23</v>
      </c>
      <c r="AN34" s="48">
        <f>IF($B34&gt;CALCULO!$C$28,
        IF($H34*(PI()*AL$4/100)&lt;AO33, $H34*(PI()*AL$4/100),AO33), NA())</f>
        <v>0</v>
      </c>
      <c r="AO34" s="48">
        <f t="shared" si="6"/>
        <v>0</v>
      </c>
      <c r="AP34" s="48">
        <f>IF(OR(AM34&gt;=0,AO34&lt;0),NA(),4*AO34/(PI()*(AL$4*0.01+(-AM34-0.5))^2))</f>
        <v>0</v>
      </c>
      <c r="AQ34" s="48">
        <f t="array" ref="AQ34">IF(AM33&lt;=0,
       tensaogrupo(-AM33,AL$4),
  NA())</f>
        <v>0.84342989816271363</v>
      </c>
      <c r="AR34" s="48" t="e">
        <f>IFERROR(
      (IF(ISNUMBER(AP34),AP34,0)+AQ34) / ($I34*((J34+AQ34+IF(ISNUMBER(AP34),AP34,0))/J34)^CAPA!F$80),
NA())</f>
        <v>#N/A</v>
      </c>
      <c r="AV34" s="48">
        <f>-CAPA!V$89-$B34</f>
        <v>-24</v>
      </c>
      <c r="AW34" s="48">
        <f>IF($B34&gt;CALCULO!$C$28,
        IF($H34*(PI()*AU$4/100)&lt;AX33, $H34*(PI()*AU$4/100),AX33), NA())</f>
        <v>0</v>
      </c>
      <c r="AX34" s="48">
        <f t="shared" si="7"/>
        <v>0</v>
      </c>
      <c r="AY34" s="48">
        <f t="shared" si="11"/>
        <v>0</v>
      </c>
      <c r="AZ34" s="48">
        <f t="array" ref="AZ34">IF(AV33&lt;=0,
       tensaogrupo(-AV33,AU$4),
  NA())</f>
        <v>0.77637207674838826</v>
      </c>
      <c r="BA34" s="3" t="e">
        <f>IFERROR(
      (IF(ISNUMBER(AY34),AY34,0)+AZ34) / ($I34*(($J34+AZ34+IF(ISNUMBER(AY34),AY34,0))/$J34)^CAPA!$F$80),
NA())</f>
        <v>#N/A</v>
      </c>
      <c r="BE34" s="48">
        <f>-CAPA!I$15-$B34</f>
        <v>-18</v>
      </c>
      <c r="BF34" s="48">
        <f>IF($B34&gt;CALCULO!$C$28,
        IF($H34*(PI()*BD$4/100)&lt;BG33, $H34*(PI()*BD$4/100),BG33), NA())</f>
        <v>0</v>
      </c>
      <c r="BG34" s="48">
        <f t="shared" si="8"/>
        <v>0</v>
      </c>
      <c r="BH34" s="48">
        <f t="shared" si="13"/>
        <v>0</v>
      </c>
      <c r="BI34" s="48">
        <f t="array" ref="BI34">IF(BE33&lt;=0,
       tensaogrupo(-BE33,BD$4),
  NA())</f>
        <v>1.0584720488300949</v>
      </c>
      <c r="BJ34" s="3" t="e">
        <f>IFERROR(
      (IF(ISNUMBER(BH34),BH34,0)+BI34) / ($I34*(($J34+BI34+IF(ISNUMBER(BH34),BH34,0))/$J34)^CAPA!$F$80),
NA())</f>
        <v>#N/A</v>
      </c>
    </row>
    <row r="35" spans="1:62">
      <c r="A35" s="118" t="str">
        <f xml:space="preserve"> IF(CAPA!F40= ""," ",CAPA!F40)</f>
        <v xml:space="preserve"> </v>
      </c>
      <c r="B35" s="2">
        <v>32</v>
      </c>
      <c r="C35" s="48">
        <f>CAPA!D40</f>
        <v>0</v>
      </c>
      <c r="D35" s="48">
        <f>CAPA!E40</f>
        <v>0</v>
      </c>
      <c r="E35" s="119">
        <f>C35*IFERROR(INDEX(Compatibilidade!$G$6:$G$20,MATCH(A35,Compatibilidade!$C$6:$C$20,0)) * INDEX(Compatibilidade!$H$6:$H$20,MATCH(A35,Compatibilidade!$C$6:$C$20,0)),"0")</f>
        <v>0</v>
      </c>
      <c r="F35" s="119"/>
      <c r="G35" s="3">
        <f>IF(B35&gt;CALCULO!$C$28,CALCULO!$C$15,NA())</f>
        <v>0.81681408993334625</v>
      </c>
      <c r="H35" s="3">
        <f>IF(CAPA!$O$60 = "Aoki-Velloso (1975)",CALCULO!S38,
        IF(CAPA!$O$60 = "Décourt-Quaresma (1978)",CALCULO!AG38*CALCULO!AF38,
              IF(CAPA!$O$60 = "Teixeira (1996)",CALCULO!AT38,
                    IF(CAPA!$O$60 = "Média",CALCULO!AT38,0))))</f>
        <v>0</v>
      </c>
      <c r="I35" s="48" t="e">
        <f>IFERROR(C35*CALCULO!P38*IF(OR(CALCULO!C$5="C-Pré-moldada",CALCULO!C$5="B-Metálica"),6,IF(CALCULO!C$5="F-Hélice Contínua",4,3)),NA())</f>
        <v>#N/A</v>
      </c>
      <c r="J35" s="48">
        <f>J34+IF(-B35&gt;=CALCULO!C$18,D35,D35-CALCULO!C$19)</f>
        <v>223</v>
      </c>
      <c r="K35" s="48"/>
      <c r="L35" s="48">
        <f>-CAPA!I$89-B35</f>
        <v>-15</v>
      </c>
      <c r="M35" s="48">
        <f t="shared" si="14"/>
        <v>0</v>
      </c>
      <c r="N35" s="160">
        <f t="shared" si="1"/>
        <v>0</v>
      </c>
      <c r="O35" s="48">
        <f>IF(OR(L35&gt;=0,N35&lt;0),NA(),4*N35/(PI()*(CALCULO!$C$8*0.01+(-L35-0.5))^2))</f>
        <v>0</v>
      </c>
      <c r="P35" s="48" cm="1">
        <f t="array" ref="P35">IF(L34&lt;=0,
       tensao(-L34),
  NA())</f>
        <v>1.4088880084667859</v>
      </c>
      <c r="Q35" s="48" t="e">
        <f>IFERROR(
      (IF(ISNUMBER(O35),O35,0)+P35) / (I35*((J35+P35+IF(ISNUMBER(O35),O35,0))/J35)^CAPA!F$80),
NA())</f>
        <v>#N/A</v>
      </c>
      <c r="U35" s="48">
        <f>-CAPA!M$89-B35</f>
        <v>-20</v>
      </c>
      <c r="V35" s="48">
        <f>IF(B35&gt;CALCULO!$C$28,
        IF($H35*(PI()*$T$4/100)&lt;W34, $H35*(PI()*$T$4/100),W34), NA())</f>
        <v>0</v>
      </c>
      <c r="W35" s="160">
        <f t="shared" si="2"/>
        <v>0</v>
      </c>
      <c r="X35" s="48">
        <f t="shared" si="15"/>
        <v>0</v>
      </c>
      <c r="Y35" s="48" cm="1">
        <f t="array" ref="Y35">IF(U34&lt;=0,
       tensaogrupo(-U34,T$4),
  NA())</f>
        <v>0.97610395646440817</v>
      </c>
      <c r="Z35" s="48" t="e">
        <f>IFERROR(
      (IF(ISNUMBER(X35),X35,0)+Y35) / ($I35*(($J35+Y35+IF(ISNUMBER(X35),X35,0))/$J35)^CAPA!F$80),
NA())</f>
        <v>#N/A</v>
      </c>
      <c r="AD35" s="48">
        <f>-CAPA!P$89-$B35</f>
        <v>-24</v>
      </c>
      <c r="AE35" s="48">
        <f>IF($B35&gt;CALCULO!$C$28,
        IF($H35*(PI()*AC$4/100)&lt;AF34, $H35*(PI()*AC$4/100),AF34), NA())</f>
        <v>0</v>
      </c>
      <c r="AF35" s="48">
        <f t="shared" si="4"/>
        <v>56.755636154940177</v>
      </c>
      <c r="AG35" s="48">
        <f t="shared" si="5"/>
        <v>0.12265923818173519</v>
      </c>
      <c r="AH35" s="48" cm="1">
        <f t="array" ref="AH35">IF(AD34&lt;=0,
       tensaogrupo(-AD34,AC$4),
  NA())</f>
        <v>0.76843118376240072</v>
      </c>
      <c r="AI35" s="119" t="e">
        <f>IFERROR(
      (IF(ISNUMBER(AG35),AG35,0)+AH35) / ($I35*((J35+AH35+IF(ISNUMBER(AG35),AG35,0))/J35)^CAPA!F$80),
NA())</f>
        <v>#N/A</v>
      </c>
      <c r="AM35" s="48">
        <f>-CAPA!S$89-$B35</f>
        <v>-24</v>
      </c>
      <c r="AN35" s="48">
        <f>IF($B35&gt;CALCULO!$C$28,
        IF($H35*(PI()*AL$4/100)&lt;AO34, $H35*(PI()*AL$4/100),AO34), NA())</f>
        <v>0</v>
      </c>
      <c r="AO35" s="48">
        <f t="shared" si="6"/>
        <v>0</v>
      </c>
      <c r="AP35" s="48">
        <f>IF(OR(AM35&gt;=0,AO35&lt;0),NA(),4*AO35/(PI()*(AL$4*0.01+(-AM35-0.5))^2))</f>
        <v>0</v>
      </c>
      <c r="AQ35" s="48">
        <f t="array" ref="AQ35">IF(AM34&lt;=0,
       tensaogrupo(-AM34,AL$4),
  NA())</f>
        <v>0.78485800535491412</v>
      </c>
      <c r="AR35" s="48" t="e">
        <f>IFERROR(
      (IF(ISNUMBER(AP35),AP35,0)+AQ35) / ($I35*((J35+AQ35+IF(ISNUMBER(AP35),AP35,0))/J35)^CAPA!F$80),
NA())</f>
        <v>#N/A</v>
      </c>
      <c r="AV35" s="48">
        <f>-CAPA!V$89-$B35</f>
        <v>-25</v>
      </c>
      <c r="AW35" s="48">
        <f>IF($B35&gt;CALCULO!$C$28,
        IF($H35*(PI()*AU$4/100)&lt;AX34, $H35*(PI()*AU$4/100),AX34), NA())</f>
        <v>0</v>
      </c>
      <c r="AX35" s="48">
        <f t="shared" si="7"/>
        <v>0</v>
      </c>
      <c r="AY35" s="48">
        <f t="shared" si="11"/>
        <v>0</v>
      </c>
      <c r="AZ35" s="48">
        <f t="array" ref="AZ35">IF(AV34&lt;=0,
       tensaogrupo(-AV34,AU$4),
  NA())</f>
        <v>0.72465113227145217</v>
      </c>
      <c r="BA35" s="3" t="e">
        <f>IFERROR(
      (IF(ISNUMBER(AY35),AY35,0)+AZ35) / ($I35*(($J35+AZ35+IF(ISNUMBER(AY35),AY35,0))/$J35)^CAPA!$F$80),
NA())</f>
        <v>#N/A</v>
      </c>
      <c r="BE35" s="48">
        <f>-CAPA!I$15-$B35</f>
        <v>-19</v>
      </c>
      <c r="BF35" s="48">
        <f>IF($B35&gt;CALCULO!$C$28,
        IF($H35*(PI()*BD$4/100)&lt;BG34, $H35*(PI()*BD$4/100),BG34), NA())</f>
        <v>0</v>
      </c>
      <c r="BG35" s="48">
        <f t="shared" si="8"/>
        <v>0</v>
      </c>
      <c r="BH35" s="48">
        <f t="shared" si="13"/>
        <v>0</v>
      </c>
      <c r="BI35" s="48">
        <f t="array" ref="BI35">IF(BE34&lt;=0,
       tensaogrupo(-BE34,BD$4),
  NA())</f>
        <v>0.97610395646440817</v>
      </c>
      <c r="BJ35" s="3" t="e">
        <f>IFERROR(
      (IF(ISNUMBER(BH35),BH35,0)+BI35) / ($I35*(($J35+BI35+IF(ISNUMBER(BH35),BH35,0))/$J35)^CAPA!$F$80),
NA())</f>
        <v>#N/A</v>
      </c>
    </row>
    <row r="36" spans="1:62">
      <c r="A36" s="118" t="str">
        <f xml:space="preserve"> IF(CAPA!F41= ""," ",CAPA!F41)</f>
        <v xml:space="preserve"> </v>
      </c>
      <c r="B36" s="2">
        <v>33</v>
      </c>
      <c r="C36" s="48">
        <f>CAPA!D41</f>
        <v>0</v>
      </c>
      <c r="D36" s="48">
        <f>CAPA!E41</f>
        <v>0</v>
      </c>
      <c r="E36" s="119">
        <f>C36*IFERROR(INDEX(Compatibilidade!$G$6:$G$20,MATCH(A36,Compatibilidade!$C$6:$C$20,0)) * INDEX(Compatibilidade!$H$6:$H$20,MATCH(A36,Compatibilidade!$C$6:$C$20,0)),"0")</f>
        <v>0</v>
      </c>
      <c r="F36" s="119"/>
      <c r="G36" s="3">
        <f>IF(B36&gt;CALCULO!$C$28,CALCULO!$C$15,NA())</f>
        <v>0.81681408993334625</v>
      </c>
      <c r="H36" s="3">
        <f>IF(CAPA!$O$60 = "Aoki-Velloso (1975)",CALCULO!S39,
        IF(CAPA!$O$60 = "Décourt-Quaresma (1978)",CALCULO!AG39*CALCULO!AF39,
              IF(CAPA!$O$60 = "Teixeira (1996)",CALCULO!AT39,
                    IF(CAPA!$O$60 = "Média",CALCULO!AT39,0))))</f>
        <v>0</v>
      </c>
      <c r="I36" s="48" t="e">
        <f>IFERROR(C36*CALCULO!P39*IF(OR(CALCULO!C$5="C-Pré-moldada",CALCULO!C$5="B-Metálica"),6,IF(CALCULO!C$5="F-Hélice Contínua",4,3)),NA())</f>
        <v>#N/A</v>
      </c>
      <c r="J36" s="48">
        <f>J35+IF(-B36&gt;=CALCULO!C$18,D36,D36-CALCULO!C$19)</f>
        <v>213</v>
      </c>
      <c r="K36" s="48"/>
      <c r="L36" s="48">
        <f>-CAPA!I$89-B36</f>
        <v>-16</v>
      </c>
      <c r="M36" s="48">
        <f t="shared" si="14"/>
        <v>0</v>
      </c>
      <c r="N36" s="160">
        <f t="shared" si="1"/>
        <v>0</v>
      </c>
      <c r="O36" s="48">
        <f>IF(OR(L36&gt;=0,N36&lt;0),NA(),4*N36/(PI()*(CALCULO!$C$8*0.01+(-L36-0.5))^2))</f>
        <v>0</v>
      </c>
      <c r="P36" s="48" cm="1">
        <f t="array" ref="P36">IF(L35&lt;=0,
       tensao(-L35),
  NA())</f>
        <v>1.2811521222102762</v>
      </c>
      <c r="Q36" s="48" t="e">
        <f>IFERROR(
      (IF(ISNUMBER(O36),O36,0)+P36) / (I36*((J36+P36+IF(ISNUMBER(O36),O36,0))/J36)^CAPA!F$80),
NA())</f>
        <v>#N/A</v>
      </c>
      <c r="U36" s="48">
        <f>-CAPA!M$89-B36</f>
        <v>-21</v>
      </c>
      <c r="V36" s="48">
        <f>IF(B36&gt;CALCULO!$C$28,
        IF($H36*(PI()*$T$4/100)&lt;W35, $H36*(PI()*$T$4/100),W35), NA())</f>
        <v>0</v>
      </c>
      <c r="W36" s="160">
        <f t="shared" si="2"/>
        <v>0</v>
      </c>
      <c r="X36" s="48">
        <f t="shared" si="15"/>
        <v>0</v>
      </c>
      <c r="Y36" s="48" cm="1">
        <f t="array" ref="Y36">IF(U35&lt;=0,
       tensaogrupo(-U35,T$4),
  NA())</f>
        <v>0.90305532665966415</v>
      </c>
      <c r="Z36" s="48" t="e">
        <f>IFERROR(
      (IF(ISNUMBER(X36),X36,0)+Y36) / ($I36*(($J36+Y36+IF(ISNUMBER(X36),X36,0))/$J36)^CAPA!F$80),
NA())</f>
        <v>#N/A</v>
      </c>
      <c r="AD36" s="48">
        <f>-CAPA!P$89-$B36</f>
        <v>-25</v>
      </c>
      <c r="AE36" s="48">
        <f>IF($B36&gt;CALCULO!$C$28,
        IF($H36*(PI()*AC$4/100)&lt;AF35, $H36*(PI()*AC$4/100),AF35), NA())</f>
        <v>0</v>
      </c>
      <c r="AF36" s="48">
        <f t="shared" si="4"/>
        <v>56.755636154940177</v>
      </c>
      <c r="AG36" s="48">
        <f t="shared" si="5"/>
        <v>0.11314424525850664</v>
      </c>
      <c r="AH36" s="48" cm="1">
        <f t="array" ref="AH36">IF(AD35&lt;=0,
       tensaogrupo(-AD35,AC$4),
  NA())</f>
        <v>0.71425173308814538</v>
      </c>
      <c r="AI36" s="119" t="e">
        <f>IFERROR(
      (IF(ISNUMBER(AG36),AG36,0)+AH36) / ($I36*((J36+AH36+IF(ISNUMBER(AG36),AG36,0))/J36)^CAPA!F$80),
NA())</f>
        <v>#N/A</v>
      </c>
      <c r="AM36" s="48">
        <f>-CAPA!S$89-$B36</f>
        <v>-25</v>
      </c>
      <c r="AN36" s="48">
        <f>IF($B36&gt;CALCULO!$C$28,
        IF($H36*(PI()*AL$4/100)&lt;AO35, $H36*(PI()*AL$4/100),AO35), NA())</f>
        <v>0</v>
      </c>
      <c r="AO36" s="48">
        <f t="shared" si="6"/>
        <v>0</v>
      </c>
      <c r="AP36" s="48">
        <f t="shared" ref="AP36" si="16">IF(OR(AM36&gt;=0,AO36&lt;0),NA(),4*AO36/(PI()*(AL$4*0.01+(-AM36-0.5))^2))</f>
        <v>0</v>
      </c>
      <c r="AQ36" s="48">
        <f t="array" ref="AQ36">IF(AM35&lt;=0,
       tensaogrupo(-AM35,AL$4),
  NA())</f>
        <v>0.7322044810028614</v>
      </c>
      <c r="AR36" s="48" t="e">
        <f>IFERROR(
      (IF(ISNUMBER(AP36),AP36,0)+AQ36) / ($I36*((J36+AQ36+IF(ISNUMBER(AP36),AP36,0))/J36)^CAPA!F$80),
NA())</f>
        <v>#N/A</v>
      </c>
      <c r="AV36" s="48">
        <f>-CAPA!V$89-$B36</f>
        <v>-26</v>
      </c>
      <c r="AW36" s="48">
        <f>IF($B36&gt;CALCULO!$C$28,
        IF($H36*(PI()*AU$4/100)&lt;AX35, $H36*(PI()*AU$4/100),AX35), NA())</f>
        <v>0</v>
      </c>
      <c r="AX36" s="48">
        <f t="shared" si="7"/>
        <v>0</v>
      </c>
      <c r="AY36" s="48">
        <f t="shared" si="11"/>
        <v>0</v>
      </c>
      <c r="AZ36" s="48">
        <f t="array" ref="AZ36">IF(AV35&lt;=0,
       tensaogrupo(-AV35,AU$4),
  NA())</f>
        <v>0.67794408475382895</v>
      </c>
      <c r="BA36" s="3" t="e">
        <f>IFERROR(
      (IF(ISNUMBER(AY36),AY36,0)+AZ36) / ($I36*(($J36+AZ36+IF(ISNUMBER(AY36),AY36,0))/$J36)^CAPA!$F$80),
NA())</f>
        <v>#N/A</v>
      </c>
      <c r="BE36" s="48">
        <f>-CAPA!I$15-$B36</f>
        <v>-20</v>
      </c>
      <c r="BF36" s="48">
        <f>IF($B36&gt;CALCULO!$C$28,
        IF($H36*(PI()*BD$4/100)&lt;BG35, $H36*(PI()*BD$4/100),BG35), NA())</f>
        <v>0</v>
      </c>
      <c r="BG36" s="48">
        <f t="shared" si="8"/>
        <v>0</v>
      </c>
      <c r="BH36" s="48">
        <f t="shared" si="13"/>
        <v>0</v>
      </c>
      <c r="BI36" s="48">
        <f t="array" ref="BI36">IF(BE35&lt;=0,
       tensaogrupo(-BE35,BD$4),
  NA())</f>
        <v>0.90305532665966404</v>
      </c>
      <c r="BJ36" s="3" t="e">
        <f>IFERROR(
      (IF(ISNUMBER(BH36),BH36,0)+BI36) / ($I36*(($J36+BI36+IF(ISNUMBER(BH36),BH36,0))/$J36)^CAPA!$F$80),
NA())</f>
        <v>#N/A</v>
      </c>
    </row>
    <row r="37" spans="1:62">
      <c r="A37" s="118" t="str">
        <f xml:space="preserve"> IF(CAPA!F42= ""," ",CAPA!F42)</f>
        <v xml:space="preserve"> </v>
      </c>
      <c r="B37" s="2">
        <v>34</v>
      </c>
      <c r="C37" s="48">
        <f>CAPA!D42</f>
        <v>0</v>
      </c>
      <c r="D37" s="48">
        <f>CAPA!E42</f>
        <v>0</v>
      </c>
      <c r="E37" s="119">
        <f>C37*IFERROR(INDEX(Compatibilidade!$G$6:$G$20,MATCH(A37,Compatibilidade!$C$6:$C$20,0)) * INDEX(Compatibilidade!$H$6:$H$20,MATCH(A37,Compatibilidade!$C$6:$C$20,0)),"0")</f>
        <v>0</v>
      </c>
      <c r="F37" s="119"/>
      <c r="G37" s="3">
        <f>IF(B37&gt;CALCULO!$C$28,CALCULO!$C$15,NA())</f>
        <v>0.81681408993334625</v>
      </c>
      <c r="H37" s="3">
        <f>IF(CAPA!$O$60 = "Aoki-Velloso (1975)",CALCULO!S40,
        IF(CAPA!$O$60 = "Décourt-Quaresma (1978)",CALCULO!AG40*CALCULO!AF40,
              IF(CAPA!$O$60 = "Teixeira (1996)",CALCULO!AT40,
                    IF(CAPA!$O$60 = "Média",CALCULO!AT40,0))))</f>
        <v>0</v>
      </c>
      <c r="I37" s="48" t="e">
        <f>IFERROR(C37*CALCULO!P40*IF(OR(CALCULO!C$5="C-Pré-moldada",CALCULO!C$5="B-Metálica"),6,IF(CALCULO!C$5="F-Hélice Contínua",4,3)),NA())</f>
        <v>#N/A</v>
      </c>
      <c r="J37" s="48">
        <f>J36+IF(-B37&gt;=CALCULO!C$18,D37,D37-CALCULO!C$19)</f>
        <v>203</v>
      </c>
      <c r="K37" s="48"/>
      <c r="L37" s="48">
        <f>-CAPA!I$89-B37</f>
        <v>-17</v>
      </c>
      <c r="M37" s="48">
        <f t="shared" si="14"/>
        <v>0</v>
      </c>
      <c r="N37" s="160">
        <f t="shared" si="1"/>
        <v>0</v>
      </c>
      <c r="O37" s="48">
        <f>IF(OR(L37&gt;=0,N37&lt;0),NA(),4*N37/(PI()*(CALCULO!$C$8*0.01+(-L37-0.5))^2))</f>
        <v>0</v>
      </c>
      <c r="P37" s="48" cm="1">
        <f t="array" ref="P37">IF(L36&lt;=0,
       tensao(-L36),
  NA())</f>
        <v>1.1703072423878449</v>
      </c>
      <c r="Q37" s="48" t="e">
        <f>IFERROR(
      (IF(ISNUMBER(O37),O37,0)+P37) / (I37*((J37+P37+IF(ISNUMBER(O37),O37,0))/J37)^CAPA!F$80),
NA())</f>
        <v>#N/A</v>
      </c>
      <c r="U37" s="48">
        <f>-CAPA!M$89-B37</f>
        <v>-22</v>
      </c>
      <c r="V37" s="48">
        <f>IF(B37&gt;CALCULO!$C$28,
        IF($H37*(PI()*$T$4/100)&lt;W36, $H37*(PI()*$T$4/100),W36), NA())</f>
        <v>0</v>
      </c>
      <c r="W37" s="160">
        <f t="shared" si="2"/>
        <v>0</v>
      </c>
      <c r="X37" s="48">
        <f t="shared" si="15"/>
        <v>0</v>
      </c>
      <c r="Y37" s="48" cm="1">
        <f t="array" ref="Y37">IF(U36&lt;=0,
       tensaogrupo(-U36,T$4),
  NA())</f>
        <v>0.83796315886477135</v>
      </c>
      <c r="Z37" s="48" t="e">
        <f>IFERROR(
      (IF(ISNUMBER(X37),X37,0)+Y37) / ($I37*(($J37+Y37+IF(ISNUMBER(X37),X37,0))/$J37)^CAPA!F$80),
NA())</f>
        <v>#N/A</v>
      </c>
      <c r="AD37" s="48">
        <f>-CAPA!P$89-$B37</f>
        <v>-26</v>
      </c>
      <c r="AE37" s="48">
        <f>IF($B37&gt;CALCULO!$C$28,
        IF($H37*(PI()*AC$4/100)&lt;AF36, $H37*(PI()*AC$4/100),AF36), NA())</f>
        <v>0</v>
      </c>
      <c r="AF37" s="48">
        <f t="shared" si="4"/>
        <v>56.755636154940177</v>
      </c>
      <c r="AG37" s="48">
        <f t="shared" si="5"/>
        <v>0.1046949435509798</v>
      </c>
      <c r="AH37" s="48" cm="1">
        <f t="array" ref="AH37">IF(AD36&lt;=0,
       tensaogrupo(-AD36,AC$4),
  NA())</f>
        <v>0.66563411739847433</v>
      </c>
      <c r="AI37" s="119" t="e">
        <f>IFERROR(
      (IF(ISNUMBER(AG37),AG37,0)+AH37) / ($I37*((J37+AH37+IF(ISNUMBER(AG37),AG37,0))/J37)^CAPA!F$80),
NA())</f>
        <v>#N/A</v>
      </c>
      <c r="AM37" s="48">
        <f>-CAPA!S$89-$B37</f>
        <v>-26</v>
      </c>
      <c r="AN37" s="48">
        <f>IF($B37&gt;CALCULO!$C$28,
        IF($H37*(PI()*AL$4/100)&lt;AO36, $H37*(PI()*AL$4/100),AO36), NA())</f>
        <v>0</v>
      </c>
      <c r="AO37" s="48">
        <f t="shared" si="6"/>
        <v>0</v>
      </c>
      <c r="AP37" s="48">
        <f>IF(OR(AM37&gt;=0,AO37&lt;0),NA(),4*AO37/(PI()*(AL$4*0.01+(-AM37-0.5))^2))</f>
        <v>0</v>
      </c>
      <c r="AQ37" s="48">
        <f t="array" ref="AQ37">IF(AM36&lt;=0,
       tensaogrupo(-AM36,AL$4),
  NA())</f>
        <v>0.68469533417259854</v>
      </c>
      <c r="AR37" s="48" t="e">
        <f>IFERROR(
      (IF(ISNUMBER(AP37),AP37,0)+AQ37) / ($I37*((J37+AQ37+IF(ISNUMBER(AP37),AP37,0))/J37)^CAPA!F$80),
NA())</f>
        <v>#N/A</v>
      </c>
      <c r="AV37" s="48">
        <f>-CAPA!V$89-$B37</f>
        <v>-27</v>
      </c>
      <c r="AW37" s="48">
        <f>IF($B37&gt;CALCULO!$C$28,
        IF($H37*(PI()*AU$4/100)&lt;AX36, $H37*(PI()*AU$4/100),AX36), NA())</f>
        <v>0</v>
      </c>
      <c r="AX37" s="48">
        <f t="shared" si="7"/>
        <v>0</v>
      </c>
      <c r="AY37" s="48">
        <f t="shared" si="11"/>
        <v>0</v>
      </c>
      <c r="AZ37" s="48">
        <f t="array" ref="AZ37">IF(AV36&lt;=0,
       tensaogrupo(-AV36,AU$4),
  NA())</f>
        <v>0.63562172430872255</v>
      </c>
      <c r="BA37" s="3" t="e">
        <f>IFERROR(
      (IF(ISNUMBER(AY37),AY37,0)+AZ37) / ($I37*(($J37+AZ37+IF(ISNUMBER(AY37),AY37,0))/$J37)^CAPA!$F$80),
NA())</f>
        <v>#N/A</v>
      </c>
      <c r="BE37" s="48">
        <f>-CAPA!I$15-$B37</f>
        <v>-21</v>
      </c>
      <c r="BF37" s="48">
        <f>IF($B37&gt;CALCULO!$C$28,
        IF($H37*(PI()*BD$4/100)&lt;BG36, $H37*(PI()*BD$4/100),BG36), NA())</f>
        <v>0</v>
      </c>
      <c r="BG37" s="48">
        <f t="shared" si="8"/>
        <v>0</v>
      </c>
      <c r="BH37" s="48">
        <f t="shared" si="13"/>
        <v>0</v>
      </c>
      <c r="BI37" s="48">
        <f t="array" ref="BI37">IF(BE36&lt;=0,
       tensaogrupo(-BE36,BD$4),
  NA())</f>
        <v>0.83796315886477124</v>
      </c>
      <c r="BJ37" s="3" t="e">
        <f>IFERROR(
      (IF(ISNUMBER(BH37),BH37,0)+BI37) / ($I37*(($J37+BI37+IF(ISNUMBER(BH37),BH37,0))/$J37)^CAPA!$F$80),
NA())</f>
        <v>#N/A</v>
      </c>
    </row>
    <row r="38" spans="1:62">
      <c r="A38" s="118" t="str">
        <f xml:space="preserve"> IF(CAPA!F43= ""," ",CAPA!F43)</f>
        <v xml:space="preserve"> </v>
      </c>
      <c r="B38" s="2">
        <v>35</v>
      </c>
      <c r="C38" s="48">
        <f>CAPA!D43</f>
        <v>0</v>
      </c>
      <c r="D38" s="48">
        <f>CAPA!E43</f>
        <v>0</v>
      </c>
      <c r="E38" s="119">
        <f>C38*IFERROR(INDEX(Compatibilidade!$G$6:$G$20,MATCH(A38,Compatibilidade!$C$6:$C$20,0)) * INDEX(Compatibilidade!$H$6:$H$20,MATCH(A38,Compatibilidade!$C$6:$C$20,0)),"0")</f>
        <v>0</v>
      </c>
      <c r="F38" s="119"/>
      <c r="G38" s="3">
        <f>IF(B38&gt;CALCULO!$C$28,CALCULO!$C$15,NA())</f>
        <v>0.81681408993334625</v>
      </c>
      <c r="H38" s="3">
        <f>IF(CAPA!$O$60 = "Aoki-Velloso (1975)",CALCULO!S41,
        IF(CAPA!$O$60 = "Décourt-Quaresma (1978)",CALCULO!AG41*CALCULO!AF41,
              IF(CAPA!$O$60 = "Teixeira (1996)",CALCULO!AT41,
                    IF(CAPA!$O$60 = "Média",CALCULO!AT41,0))))</f>
        <v>0</v>
      </c>
      <c r="I38" s="48" t="e">
        <f>IFERROR(C38*CALCULO!P41*IF(OR(CALCULO!C$5="C-Pré-moldada",CALCULO!C$5="B-Metálica"),6,IF(CALCULO!C$5="F-Hélice Contínua",4,3)),NA())</f>
        <v>#N/A</v>
      </c>
      <c r="J38" s="48">
        <f>J37+IF(-B38&gt;=CALCULO!C$18,D38,D38-CALCULO!C$19)</f>
        <v>193</v>
      </c>
      <c r="K38" s="48"/>
      <c r="L38" s="48">
        <f>-CAPA!I$89-B38</f>
        <v>-18</v>
      </c>
      <c r="M38" s="48">
        <f t="shared" si="14"/>
        <v>0</v>
      </c>
      <c r="N38" s="160">
        <f t="shared" si="1"/>
        <v>0</v>
      </c>
      <c r="O38" s="48">
        <f>IF(OR(L38&gt;=0,N38&lt;0),NA(),4*N38/(PI()*(CALCULO!$C$8*0.01+(-L38-0.5))^2))</f>
        <v>0</v>
      </c>
      <c r="P38" s="48" cm="1">
        <f t="array" ref="P38">IF(L37&lt;=0,
       tensao(-L37),
  NA())</f>
        <v>1.0734628079478392</v>
      </c>
      <c r="Q38" s="48" t="e">
        <f>IFERROR(
      (IF(ISNUMBER(O38),O38,0)+P38) / (I38*((J38+P38+IF(ISNUMBER(O38),O38,0))/J38)^CAPA!F$80),
NA())</f>
        <v>#N/A</v>
      </c>
      <c r="U38" s="48">
        <f>-CAPA!M$89-B38</f>
        <v>-23</v>
      </c>
      <c r="V38" s="48">
        <f>IF(B38&gt;CALCULO!$C$28,
        IF($H38*(PI()*$T$4/100)&lt;W37, $H38*(PI()*$T$4/100),W37), NA())</f>
        <v>0</v>
      </c>
      <c r="W38" s="160">
        <f t="shared" si="2"/>
        <v>0</v>
      </c>
      <c r="X38" s="48">
        <f t="shared" si="15"/>
        <v>0</v>
      </c>
      <c r="Y38" s="48" cm="1">
        <f t="array" ref="Y38">IF(U37&lt;=0,
       tensaogrupo(-U37,T$4),
  NA())</f>
        <v>0.77970608700732713</v>
      </c>
      <c r="Z38" s="48" t="e">
        <f>IFERROR(
      (IF(ISNUMBER(X38),X38,0)+Y38) / ($I38*(($J38+Y38+IF(ISNUMBER(X38),X38,0))/$J38)^CAPA!F$80),
NA())</f>
        <v>#N/A</v>
      </c>
      <c r="AD38" s="48">
        <f>-CAPA!P$89-$B38</f>
        <v>-27</v>
      </c>
      <c r="AE38" s="48">
        <f>IF($B38&gt;CALCULO!$C$28,
        IF($H38*(PI()*AC$4/100)&lt;AF37, $H38*(PI()*AC$4/100),AF37), NA())</f>
        <v>0</v>
      </c>
      <c r="AF38" s="48">
        <f t="shared" si="4"/>
        <v>56.755636154940177</v>
      </c>
      <c r="AG38" s="48">
        <f t="shared" si="5"/>
        <v>9.7157932199216784E-2</v>
      </c>
      <c r="AH38" s="48" cm="1">
        <f t="array" ref="AH38">IF(AD37&lt;=0,
       tensaogrupo(-AD37,AC$4),
  NA())</f>
        <v>0.62183905435119979</v>
      </c>
      <c r="AI38" s="119" t="e">
        <f>IFERROR(
      (IF(ISNUMBER(AG38),AG38,0)+AH38) / ($I38*((J38+AH38+IF(ISNUMBER(AG38),AG38,0))/J38)^CAPA!F$80),
NA())</f>
        <v>#N/A</v>
      </c>
      <c r="AM38" s="48">
        <f>-CAPA!S$89-$B38</f>
        <v>-27</v>
      </c>
      <c r="AN38" s="48">
        <f>IF($B38&gt;CALCULO!$C$28,
        IF($H38*(PI()*AL$4/100)&lt;AO37, $H38*(PI()*AL$4/100),AO37), NA())</f>
        <v>0</v>
      </c>
      <c r="AO38" s="48">
        <f t="shared" si="6"/>
        <v>0</v>
      </c>
      <c r="AP38" s="48">
        <f>IF(OR(AM38&gt;=0,AO38&lt;0),NA(),4*AO38/(PI()*(AL$4*0.01+(-AM38-0.5))^2))</f>
        <v>0</v>
      </c>
      <c r="AQ38" s="48">
        <f t="array" ref="AQ38">IF(AM37&lt;=0,
       tensaogrupo(-AM37,AL$4),
  NA())</f>
        <v>0.64167947321255758</v>
      </c>
      <c r="AR38" s="48" t="e">
        <f>IFERROR(
      (IF(ISNUMBER(AP38),AP38,0)+AQ38) / ($I38*((J38+AQ38+IF(ISNUMBER(AP38),AP38,0))/J38)^CAPA!F$80),
NA())</f>
        <v>#N/A</v>
      </c>
      <c r="AV38" s="48">
        <f>-CAPA!V$89-$B38</f>
        <v>-28</v>
      </c>
      <c r="AW38" s="48">
        <f>IF($B38&gt;CALCULO!$C$28,
        IF($H38*(PI()*AU$4/100)&lt;AX37, $H38*(PI()*AU$4/100),AX37), NA())</f>
        <v>0</v>
      </c>
      <c r="AX38" s="48">
        <f t="shared" si="7"/>
        <v>0</v>
      </c>
      <c r="AY38" s="48">
        <f t="shared" si="11"/>
        <v>0</v>
      </c>
      <c r="AZ38" s="48">
        <f t="array" ref="AZ38">IF(AV37&lt;=0,
       tensaogrupo(-AV37,AU$4),
  NA())</f>
        <v>0.59715074342617713</v>
      </c>
      <c r="BA38" s="3" t="e">
        <f>IFERROR(
      (IF(ISNUMBER(AY38),AY38,0)+AZ38) / ($I38*(($J38+AZ38+IF(ISNUMBER(AY38),AY38,0))/$J38)^CAPA!$F$80),
NA())</f>
        <v>#N/A</v>
      </c>
      <c r="BE38" s="48">
        <f>-CAPA!I$15-$B38</f>
        <v>-22</v>
      </c>
      <c r="BF38" s="48">
        <f>IF($B38&gt;CALCULO!$C$28,
        IF($H38*(PI()*BD$4/100)&lt;BG37, $H38*(PI()*BD$4/100),BG37), NA())</f>
        <v>0</v>
      </c>
      <c r="BG38" s="48">
        <f t="shared" si="8"/>
        <v>0</v>
      </c>
      <c r="BH38" s="48">
        <f t="shared" si="13"/>
        <v>0</v>
      </c>
      <c r="BI38" s="48">
        <f t="array" ref="BI38">IF(BE37&lt;=0,
       tensaogrupo(-BE37,BD$4),
  NA())</f>
        <v>0.77970608700732713</v>
      </c>
      <c r="BJ38" s="3" t="e">
        <f>IFERROR(
      (IF(ISNUMBER(BH38),BH38,0)+BI38) / ($I38*(($J38+BI38+IF(ISNUMBER(BH38),BH38,0))/$J38)^CAPA!$F$80),
NA())</f>
        <v>#N/A</v>
      </c>
    </row>
    <row r="39" spans="1:62">
      <c r="A39" s="118" t="str">
        <f xml:space="preserve"> IF(CAPA!F44= ""," ",CAPA!F44)</f>
        <v xml:space="preserve"> </v>
      </c>
      <c r="B39" s="2">
        <v>36</v>
      </c>
      <c r="C39" s="48">
        <f>CAPA!D44</f>
        <v>0</v>
      </c>
      <c r="D39" s="48">
        <f>CAPA!E44</f>
        <v>0</v>
      </c>
      <c r="E39" s="119">
        <f>C39*IFERROR(INDEX(Compatibilidade!$G$6:$G$20,MATCH(A39,Compatibilidade!$C$6:$C$20,0)) * INDEX(Compatibilidade!$H$6:$H$20,MATCH(A39,Compatibilidade!$C$6:$C$20,0)),"0")</f>
        <v>0</v>
      </c>
      <c r="F39" s="119"/>
      <c r="G39" s="3">
        <f>IF(B39&gt;CALCULO!$C$28,CALCULO!$C$15,NA())</f>
        <v>0.81681408993334625</v>
      </c>
      <c r="H39" s="3">
        <f>IF(CAPA!$O$60 = "Aoki-Velloso (1975)",CALCULO!S42,
        IF(CAPA!$O$60 = "Décourt-Quaresma (1978)",CALCULO!AG42*CALCULO!AF42,
              IF(CAPA!$O$60 = "Teixeira (1996)",CALCULO!AT42,
                    IF(CAPA!$O$60 = "Média",CALCULO!AT42,0))))</f>
        <v>0</v>
      </c>
      <c r="I39" s="48" t="e">
        <f>IFERROR(C39*CALCULO!P42*IF(OR(CALCULO!C$5="C-Pré-moldada",CALCULO!C$5="B-Metálica"),6,IF(CALCULO!C$5="F-Hélice Contínua",4,3)),NA())</f>
        <v>#N/A</v>
      </c>
      <c r="J39" s="48">
        <f>J38+IF(-B39&gt;=CALCULO!C$18,D39,D39-CALCULO!C$19)</f>
        <v>183</v>
      </c>
      <c r="K39" s="48"/>
      <c r="L39" s="48">
        <f>-CAPA!I$89-B39</f>
        <v>-19</v>
      </c>
      <c r="M39" s="48">
        <f t="shared" si="14"/>
        <v>0</v>
      </c>
      <c r="N39" s="160">
        <f t="shared" si="1"/>
        <v>0</v>
      </c>
      <c r="O39" s="48">
        <f>IF(OR(L39&gt;=0,N39&lt;0),NA(),4*N39/(PI()*(CALCULO!$C$8*0.01+(-L39-0.5))^2))</f>
        <v>0</v>
      </c>
      <c r="P39" s="48" cm="1">
        <f t="array" ref="P39">IF(L38&lt;=0,
       tensao(-L38),
  NA())</f>
        <v>0.98832768454542008</v>
      </c>
      <c r="Q39" s="48" t="e">
        <f>IFERROR(
      (IF(ISNUMBER(O39),O39,0)+P39) / (I39*((J39+P39+IF(ISNUMBER(O39),O39,0))/J39)^CAPA!F$80),
NA())</f>
        <v>#N/A</v>
      </c>
      <c r="U39" s="48">
        <f>-CAPA!M$89-B39</f>
        <v>-24</v>
      </c>
      <c r="V39" s="48">
        <f>IF(B39&gt;CALCULO!$C$28,
        IF($H39*(PI()*$T$4/100)&lt;W38, $H39*(PI()*$T$4/100),W38), NA())</f>
        <v>0</v>
      </c>
      <c r="W39" s="160">
        <f t="shared" si="2"/>
        <v>0</v>
      </c>
      <c r="X39" s="48">
        <f t="shared" si="15"/>
        <v>0</v>
      </c>
      <c r="Y39" s="48" cm="1">
        <f t="array" ref="Y39">IF(U38&lt;=0,
       tensaogrupo(-U38,T$4),
  NA())</f>
        <v>0.72735451421413033</v>
      </c>
      <c r="Z39" s="48" t="e">
        <f>IFERROR(
      (IF(ISNUMBER(X39),X39,0)+Y39) / ($I39*(($J39+Y39+IF(ISNUMBER(X39),X39,0))/$J39)^CAPA!F$80),
NA())</f>
        <v>#N/A</v>
      </c>
      <c r="AD39" s="48">
        <f>-CAPA!P$89-$B39</f>
        <v>-28</v>
      </c>
      <c r="AE39" s="48">
        <f>IF($B39&gt;CALCULO!$C$28,
        IF($H39*(PI()*AC$4/100)&lt;AF38, $H39*(PI()*AC$4/100),AF38), NA())</f>
        <v>0</v>
      </c>
      <c r="AF39" s="48">
        <f t="shared" si="4"/>
        <v>56.755636154940177</v>
      </c>
      <c r="AG39" s="48">
        <f t="shared" si="5"/>
        <v>9.0406450497413998E-2</v>
      </c>
      <c r="AH39" s="48" cm="1">
        <f t="array" ref="AH39">IF(AD38&lt;=0,
       tensaogrupo(-AD38,AC$4),
  NA())</f>
        <v>0.58224660289041785</v>
      </c>
      <c r="AI39" s="119" t="e">
        <f>IFERROR(
      (IF(ISNUMBER(AG39),AG39,0)+AH39) / ($I39*((J39+AH39+IF(ISNUMBER(AG39),AG39,0))/J39)^CAPA!F$80),
NA())</f>
        <v>#N/A</v>
      </c>
      <c r="AM39" s="48">
        <f>-CAPA!S$89-$B39</f>
        <v>-28</v>
      </c>
      <c r="AN39" s="48">
        <f>IF($B39&gt;CALCULO!$C$28,
        IF($H39*(PI()*AL$4/100)&lt;AO38, $H39*(PI()*AL$4/100),AO38), NA())</f>
        <v>0</v>
      </c>
      <c r="AO39" s="48">
        <f t="shared" si="6"/>
        <v>0</v>
      </c>
      <c r="AP39" s="48">
        <f t="shared" ref="AP39:AP52" si="17">IF(OR(AM39&gt;=0,AO39&lt;0),NA(),4*AO39/(PI()*(AL$4*0.01+(-AM39-0.5))^2))</f>
        <v>0</v>
      </c>
      <c r="AQ39" s="48">
        <f t="array" ref="AQ39">IF(AM38&lt;=0,
       tensaogrupo(-AM38,AL$4),
  NA())</f>
        <v>0.60260594487821395</v>
      </c>
      <c r="AR39" s="48" t="e">
        <f>IFERROR(
      (IF(ISNUMBER(AP39),AP39,0)+AQ39) / ($I39*((J39+AQ39+IF(ISNUMBER(AP39),AP39,0))/J39)^CAPA!F$80),
NA())</f>
        <v>#N/A</v>
      </c>
      <c r="AV39" s="48">
        <f>-CAPA!V$89-$B39</f>
        <v>-29</v>
      </c>
      <c r="AW39" s="48">
        <f>IF($B39&gt;CALCULO!$C$28,
        IF($H39*(PI()*AU$4/100)&lt;AX38, $H39*(PI()*AU$4/100),AX38), NA())</f>
        <v>0</v>
      </c>
      <c r="AX39" s="48">
        <f t="shared" si="7"/>
        <v>0</v>
      </c>
      <c r="AY39" s="48">
        <f t="shared" si="11"/>
        <v>0</v>
      </c>
      <c r="AZ39" s="48">
        <f t="array" ref="AZ39">IF(AV38&lt;=0,
       tensaogrupo(-AV38,AU$4),
  NA())</f>
        <v>0.56207668159219382</v>
      </c>
      <c r="BA39" s="3" t="e">
        <f>IFERROR(
      (IF(ISNUMBER(AY39),AY39,0)+AZ39) / ($I39*(($J39+AZ39+IF(ISNUMBER(AY39),AY39,0))/$J39)^CAPA!$F$80),
NA())</f>
        <v>#N/A</v>
      </c>
      <c r="BE39" s="48">
        <f>-CAPA!I$15-$B39</f>
        <v>-23</v>
      </c>
      <c r="BF39" s="48">
        <f>IF($B39&gt;CALCULO!$C$28,
        IF($H39*(PI()*BD$4/100)&lt;BG38, $H39*(PI()*BD$4/100),BG38), NA())</f>
        <v>0</v>
      </c>
      <c r="BG39" s="48">
        <f t="shared" si="8"/>
        <v>0</v>
      </c>
      <c r="BH39" s="48">
        <f t="shared" si="13"/>
        <v>0</v>
      </c>
      <c r="BI39" s="48">
        <f t="array" ref="BI39">IF(BE38&lt;=0,
       tensaogrupo(-BE38,BD$4),
  NA())</f>
        <v>0.72735451421413022</v>
      </c>
      <c r="BJ39" s="3" t="e">
        <f>IFERROR(
      (IF(ISNUMBER(BH39),BH39,0)+BI39) / ($I39*(($J39+BI39+IF(ISNUMBER(BH39),BH39,0))/$J39)^CAPA!$F$80),
NA())</f>
        <v>#N/A</v>
      </c>
    </row>
    <row r="40" spans="1:62">
      <c r="A40" s="118" t="str">
        <f xml:space="preserve"> IF(CAPA!F45= ""," ",CAPA!F45)</f>
        <v xml:space="preserve"> </v>
      </c>
      <c r="B40" s="2">
        <v>37</v>
      </c>
      <c r="C40" s="48">
        <f>CAPA!D45</f>
        <v>0</v>
      </c>
      <c r="D40" s="48">
        <f>CAPA!E45</f>
        <v>0</v>
      </c>
      <c r="E40" s="119">
        <f>C40*IFERROR(INDEX(Compatibilidade!$G$6:$G$20,MATCH(A40,Compatibilidade!$C$6:$C$20,0)) * INDEX(Compatibilidade!$H$6:$H$20,MATCH(A40,Compatibilidade!$C$6:$C$20,0)),"0")</f>
        <v>0</v>
      </c>
      <c r="F40" s="119"/>
      <c r="G40" s="3">
        <f>IF(B40&gt;CALCULO!$C$28,CALCULO!$C$15,NA())</f>
        <v>0.81681408993334625</v>
      </c>
      <c r="H40" s="3">
        <f>IF(CAPA!$O$60 = "Aoki-Velloso (1975)",CALCULO!S43,
        IF(CAPA!$O$60 = "Décourt-Quaresma (1978)",CALCULO!AG43*CALCULO!AF43,
              IF(CAPA!$O$60 = "Teixeira (1996)",CALCULO!AT43,
                    IF(CAPA!$O$60 = "Média",CALCULO!AT43,0))))</f>
        <v>0</v>
      </c>
      <c r="I40" s="48" t="e">
        <f>IFERROR(C40*CALCULO!P43*IF(OR(CALCULO!C$5="C-Pré-moldada",CALCULO!C$5="B-Metálica"),6,IF(CALCULO!C$5="F-Hélice Contínua",4,3)),NA())</f>
        <v>#N/A</v>
      </c>
      <c r="J40" s="48">
        <f>J39+IF(-B40&gt;=CALCULO!C$18,D40,D40-CALCULO!C$19)</f>
        <v>173</v>
      </c>
      <c r="K40" s="48"/>
      <c r="L40" s="48">
        <f>-CAPA!I$89-B40</f>
        <v>-20</v>
      </c>
      <c r="M40" s="48">
        <f t="shared" si="14"/>
        <v>0</v>
      </c>
      <c r="N40" s="160">
        <f t="shared" si="1"/>
        <v>0</v>
      </c>
      <c r="O40" s="48">
        <f>IF(OR(L40&gt;=0,N40&lt;0),NA(),4*N40/(PI()*(CALCULO!$C$8*0.01+(-L40-0.5))^2))</f>
        <v>0</v>
      </c>
      <c r="P40" s="48" cm="1">
        <f t="array" ref="P40">IF(L39&lt;=0,
       tensao(-L39),
  NA())</f>
        <v>0.91306566510892739</v>
      </c>
      <c r="Q40" s="48" t="e">
        <f>IFERROR(
      (IF(ISNUMBER(O40),O40,0)+P40) / (I40*((J40+P40+IF(ISNUMBER(O40),O40,0))/J40)^CAPA!F$80),
NA())</f>
        <v>#N/A</v>
      </c>
      <c r="U40" s="48">
        <f>-CAPA!M$89-B40</f>
        <v>-25</v>
      </c>
      <c r="V40" s="48">
        <f>IF(B40&gt;CALCULO!$C$28,
        IF($H40*(PI()*$T$4/100)&lt;W39, $H40*(PI()*$T$4/100),W39), NA())</f>
        <v>0</v>
      </c>
      <c r="W40" s="160">
        <f t="shared" si="2"/>
        <v>0</v>
      </c>
      <c r="X40" s="48">
        <f t="shared" si="15"/>
        <v>0</v>
      </c>
      <c r="Y40" s="48" cm="1">
        <f t="array" ref="Y40">IF(U39&lt;=0,
       tensaogrupo(-U39,T$4),
  NA())</f>
        <v>0.68013239832684447</v>
      </c>
      <c r="Z40" s="48" t="e">
        <f>IFERROR(
      (IF(ISNUMBER(X40),X40,0)+Y40) / ($I40*(($J40+Y40+IF(ISNUMBER(X40),X40,0))/$J40)^CAPA!F$80),
NA())</f>
        <v>#N/A</v>
      </c>
      <c r="AD40" s="48">
        <f>-CAPA!P$89-$B40</f>
        <v>-29</v>
      </c>
      <c r="AE40" s="48">
        <f>IF($B40&gt;CALCULO!$C$28,
        IF($H40*(PI()*AC$4/100)&lt;AF39, $H40*(PI()*AC$4/100),AF39), NA())</f>
        <v>0</v>
      </c>
      <c r="AF40" s="48">
        <f t="shared" si="4"/>
        <v>56.755636154940177</v>
      </c>
      <c r="AG40" s="48">
        <f t="shared" si="5"/>
        <v>8.4335013036876419E-2</v>
      </c>
      <c r="AH40" s="48" cm="1">
        <f t="array" ref="AH40">IF(AD39&lt;=0,
       tensaogrupo(-AD39,AC$4),
  NA())</f>
        <v>0.54633369131434284</v>
      </c>
      <c r="AI40" s="119" t="e">
        <f>IFERROR(
      (IF(ISNUMBER(AG40),AG40,0)+AH40) / ($I40*((J40+AH40+IF(ISNUMBER(AG40),AG40,0))/J40)^CAPA!F$80),
NA())</f>
        <v>#N/A</v>
      </c>
      <c r="AM40" s="48">
        <f>-CAPA!S$89-$B40</f>
        <v>-29</v>
      </c>
      <c r="AN40" s="48">
        <f>IF($B40&gt;CALCULO!$C$28,
        IF($H40*(PI()*AL$4/100)&lt;AO39, $H40*(PI()*AL$4/100),AO39), NA())</f>
        <v>0</v>
      </c>
      <c r="AO40" s="48">
        <f t="shared" si="6"/>
        <v>0</v>
      </c>
      <c r="AP40" s="48">
        <f t="shared" si="17"/>
        <v>0</v>
      </c>
      <c r="AQ40" s="48">
        <f t="array" ref="AQ40">IF(AM39&lt;=0,
       tensaogrupo(-AM39,AL$4),
  NA())</f>
        <v>0.56700595629049322</v>
      </c>
      <c r="AR40" s="48" t="e">
        <f>IFERROR(
      (IF(ISNUMBER(AP40),AP40,0)+AQ40) / ($I40*((J40+AQ40+IF(ISNUMBER(AP40),AP40,0))/J40)^CAPA!F$80),
NA())</f>
        <v>#N/A</v>
      </c>
      <c r="AV40" s="48">
        <f>-CAPA!V$89-$B40</f>
        <v>-30</v>
      </c>
      <c r="AW40" s="48">
        <f>IF($B40&gt;CALCULO!$C$28,
        IF($H40*(PI()*AU$4/100)&lt;AX39, $H40*(PI()*AU$4/100),AX39), NA())</f>
        <v>0</v>
      </c>
      <c r="AX40" s="48">
        <f t="shared" si="7"/>
        <v>0</v>
      </c>
      <c r="AY40" s="48">
        <f t="shared" si="11"/>
        <v>0</v>
      </c>
      <c r="AZ40" s="48">
        <f t="array" ref="AZ40">IF(AV39&lt;=0,
       tensaogrupo(-AV39,AU$4),
  NA())</f>
        <v>0.53001031304518598</v>
      </c>
      <c r="BA40" s="3" t="e">
        <f>IFERROR(
      (IF(ISNUMBER(AY40),AY40,0)+AZ40) / ($I40*(($J40+AZ40+IF(ISNUMBER(AY40),AY40,0))/$J40)^CAPA!$F$80),
NA())</f>
        <v>#N/A</v>
      </c>
      <c r="BE40" s="48">
        <f>-CAPA!I$15-$B40</f>
        <v>-24</v>
      </c>
      <c r="BF40" s="48">
        <f>IF($B40&gt;CALCULO!$C$28,
        IF($H40*(PI()*BD$4/100)&lt;BG39, $H40*(PI()*BD$4/100),BG39), NA())</f>
        <v>0</v>
      </c>
      <c r="BG40" s="48">
        <f t="shared" si="8"/>
        <v>0</v>
      </c>
      <c r="BH40" s="48">
        <f t="shared" si="13"/>
        <v>0</v>
      </c>
      <c r="BI40" s="48">
        <f t="array" ref="BI40">IF(BE39&lt;=0,
       tensaogrupo(-BE39,BD$4),
  NA())</f>
        <v>0.68013239832684447</v>
      </c>
      <c r="BJ40" s="3" t="e">
        <f>IFERROR(
      (IF(ISNUMBER(BH40),BH40,0)+BI40) / ($I40*(($J40+BI40+IF(ISNUMBER(BH40),BH40,0))/$J40)^CAPA!$F$80),
NA())</f>
        <v>#N/A</v>
      </c>
    </row>
    <row r="41" spans="1:62">
      <c r="A41" s="118" t="str">
        <f xml:space="preserve"> IF(CAPA!F46= ""," ",CAPA!F46)</f>
        <v xml:space="preserve"> </v>
      </c>
      <c r="B41" s="2">
        <v>38</v>
      </c>
      <c r="C41" s="48">
        <f>CAPA!D46</f>
        <v>0</v>
      </c>
      <c r="D41" s="48">
        <f>CAPA!E46</f>
        <v>0</v>
      </c>
      <c r="E41" s="119">
        <f>C41*IFERROR(INDEX(Compatibilidade!$G$6:$G$20,MATCH(A41,Compatibilidade!$C$6:$C$20,0)) * INDEX(Compatibilidade!$H$6:$H$20,MATCH(A41,Compatibilidade!$C$6:$C$20,0)),"0")</f>
        <v>0</v>
      </c>
      <c r="F41" s="119"/>
      <c r="G41" s="3">
        <f>IF(B41&gt;CALCULO!$C$28,CALCULO!$C$15,NA())</f>
        <v>0.81681408993334625</v>
      </c>
      <c r="H41" s="3">
        <f>IF(CAPA!$O$60 = "Aoki-Velloso (1975)",CALCULO!S44,
        IF(CAPA!$O$60 = "Décourt-Quaresma (1978)",CALCULO!AG44*CALCULO!AF44,
              IF(CAPA!$O$60 = "Teixeira (1996)",CALCULO!AT44,
                    IF(CAPA!$O$60 = "Média",CALCULO!AT44,0))))</f>
        <v>0</v>
      </c>
      <c r="I41" s="48" t="e">
        <f>IFERROR(C41*CALCULO!P44*IF(OR(CALCULO!C$5="C-Pré-moldada",CALCULO!C$5="B-Metálica"),6,IF(CALCULO!C$5="F-Hélice Contínua",4,3)),NA())</f>
        <v>#N/A</v>
      </c>
      <c r="J41" s="48">
        <f>J40+IF(-B41&gt;=CALCULO!C$18,D41,D41-CALCULO!C$19)</f>
        <v>163</v>
      </c>
      <c r="K41" s="48"/>
      <c r="L41" s="48">
        <f>-CAPA!I$89-B41</f>
        <v>-21</v>
      </c>
      <c r="M41" s="48">
        <f t="shared" si="14"/>
        <v>0</v>
      </c>
      <c r="N41" s="160">
        <f t="shared" si="1"/>
        <v>0</v>
      </c>
      <c r="O41" s="48">
        <f>IF(OR(L41&gt;=0,N41&lt;0),NA(),4*N41/(PI()*(CALCULO!$C$8*0.01+(-L41-0.5))^2))</f>
        <v>0</v>
      </c>
      <c r="P41" s="48" cm="1">
        <f t="array" ref="P41">IF(L40&lt;=0,
       tensao(-L40),
  NA())</f>
        <v>0.84619032368820246</v>
      </c>
      <c r="Q41" s="48" t="e">
        <f>IFERROR(
      (IF(ISNUMBER(O41),O41,0)+P41) / (I41*((J41+P41+IF(ISNUMBER(O41),O41,0))/J41)^CAPA!F$80),
NA())</f>
        <v>#N/A</v>
      </c>
      <c r="U41" s="48">
        <f>-CAPA!M$89-B41</f>
        <v>-26</v>
      </c>
      <c r="V41" s="48">
        <f>IF(B41&gt;CALCULO!$C$28,
        IF($H41*(PI()*$T$4/100)&lt;W40, $H41*(PI()*$T$4/100),W40), NA())</f>
        <v>0</v>
      </c>
      <c r="W41" s="160">
        <f t="shared" si="2"/>
        <v>0</v>
      </c>
      <c r="X41" s="48">
        <f t="shared" si="15"/>
        <v>0</v>
      </c>
      <c r="Y41" s="48" cm="1">
        <f t="array" ref="Y41">IF(U40&lt;=0,
       tensaogrupo(-U40,T$4),
  NA())</f>
        <v>0.63738766774474898</v>
      </c>
      <c r="Z41" s="48" t="e">
        <f>IFERROR(
      (IF(ISNUMBER(X41),X41,0)+Y41) / ($I41*(($J41+Y41+IF(ISNUMBER(X41),X41,0))/$J41)^CAPA!F$80),
NA())</f>
        <v>#N/A</v>
      </c>
      <c r="AD41" s="48">
        <f>-CAPA!P$89-$B41</f>
        <v>-30</v>
      </c>
      <c r="AE41" s="48">
        <f>IF($B41&gt;CALCULO!$C$28,
        IF($H41*(PI()*AC$4/100)&lt;AF40, $H41*(PI()*AC$4/100),AF40), NA())</f>
        <v>0</v>
      </c>
      <c r="AF41" s="48">
        <f t="shared" si="4"/>
        <v>56.755636154940177</v>
      </c>
      <c r="AG41" s="48">
        <f t="shared" si="5"/>
        <v>7.885526426295153E-2</v>
      </c>
      <c r="AH41" s="48" cm="1">
        <f t="array" ref="AH41">IF(AD40&lt;=0,
       tensaogrupo(-AD40,AC$4),
  NA())</f>
        <v>0.51365644640091968</v>
      </c>
      <c r="AI41" s="119" t="e">
        <f>IFERROR(
      (IF(ISNUMBER(AG41),AG41,0)+AH41) / ($I41*((J41+AH41+IF(ISNUMBER(AG41),AG41,0))/J41)^CAPA!F$80),
NA())</f>
        <v>#N/A</v>
      </c>
      <c r="AM41" s="48">
        <f>-CAPA!S$89-$B41</f>
        <v>-30</v>
      </c>
      <c r="AN41" s="48">
        <f>IF($B41&gt;CALCULO!$C$28,
        IF($H41*(PI()*AL$4/100)&lt;AO40, $H41*(PI()*AL$4/100),AO40), NA())</f>
        <v>0</v>
      </c>
      <c r="AO41" s="48">
        <f t="shared" si="6"/>
        <v>0</v>
      </c>
      <c r="AP41" s="48">
        <f t="shared" si="17"/>
        <v>0</v>
      </c>
      <c r="AQ41" s="48">
        <f t="array" ref="AQ41">IF(AM40&lt;=0,
       tensaogrupo(-AM40,AL$4),
  NA())</f>
        <v>0.53447856199145205</v>
      </c>
      <c r="AR41" s="48" t="e">
        <f>IFERROR(
      (IF(ISNUMBER(AP41),AP41,0)+AQ41) / ($I41*((J41+AQ41+IF(ISNUMBER(AP41),AP41,0))/J41)^CAPA!F$80),
NA())</f>
        <v>#N/A</v>
      </c>
      <c r="AV41" s="48">
        <f>-CAPA!V$89-$B41</f>
        <v>-31</v>
      </c>
      <c r="AW41" s="48">
        <f>IF($B41&gt;CALCULO!$C$28,
        IF($H41*(PI()*AU$4/100)&lt;AX40, $H41*(PI()*AU$4/100),AX40), NA())</f>
        <v>0</v>
      </c>
      <c r="AX41" s="48">
        <f t="shared" si="7"/>
        <v>0</v>
      </c>
      <c r="AY41" s="48">
        <f t="shared" si="11"/>
        <v>0</v>
      </c>
      <c r="AZ41" s="48">
        <f t="array" ref="AZ41">IF(AV40&lt;=0,
       tensaogrupo(-AV40,AU$4),
  NA())</f>
        <v>0.50061670421350579</v>
      </c>
      <c r="BA41" s="3" t="e">
        <f>IFERROR(
      (IF(ISNUMBER(AY41),AY41,0)+AZ41) / ($I41*(($J41+AZ41+IF(ISNUMBER(AY41),AY41,0))/$J41)^CAPA!$F$80),
NA())</f>
        <v>#N/A</v>
      </c>
      <c r="BE41" s="48">
        <f>-CAPA!I$15-$B41</f>
        <v>-25</v>
      </c>
      <c r="BF41" s="48">
        <f>IF($B41&gt;CALCULO!$C$28,
        IF($H41*(PI()*BD$4/100)&lt;BG40, $H41*(PI()*BD$4/100),BG40), NA())</f>
        <v>0</v>
      </c>
      <c r="BG41" s="48">
        <f t="shared" si="8"/>
        <v>0</v>
      </c>
      <c r="BH41" s="48">
        <f t="shared" si="13"/>
        <v>0</v>
      </c>
      <c r="BI41" s="48">
        <f t="array" ref="BI41">IF(BE40&lt;=0,
       tensaogrupo(-BE40,BD$4),
  NA())</f>
        <v>0.63738766774474898</v>
      </c>
      <c r="BJ41" s="3" t="e">
        <f>IFERROR(
      (IF(ISNUMBER(BH41),BH41,0)+BI41) / ($I41*(($J41+BI41+IF(ISNUMBER(BH41),BH41,0))/$J41)^CAPA!$F$80),
NA())</f>
        <v>#N/A</v>
      </c>
    </row>
    <row r="42" spans="1:62">
      <c r="A42" s="118" t="str">
        <f xml:space="preserve"> IF(CAPA!F47= ""," ",CAPA!F47)</f>
        <v xml:space="preserve"> </v>
      </c>
      <c r="B42" s="2">
        <v>39</v>
      </c>
      <c r="C42" s="48">
        <f>CAPA!D47</f>
        <v>0</v>
      </c>
      <c r="D42" s="48">
        <f>CAPA!E47</f>
        <v>0</v>
      </c>
      <c r="E42" s="119">
        <f>C42*IFERROR(INDEX(Compatibilidade!$G$6:$G$20,MATCH(A42,Compatibilidade!$C$6:$C$20,0)) * INDEX(Compatibilidade!$H$6:$H$20,MATCH(A42,Compatibilidade!$C$6:$C$20,0)),"0")</f>
        <v>0</v>
      </c>
      <c r="F42" s="119"/>
      <c r="G42" s="3">
        <f>IF(B42&gt;CALCULO!$C$28,CALCULO!$C$15,NA())</f>
        <v>0.81681408993334625</v>
      </c>
      <c r="H42" s="3">
        <f>IF(CAPA!$O$60 = "Aoki-Velloso (1975)",CALCULO!S45,
        IF(CAPA!$O$60 = "Décourt-Quaresma (1978)",CALCULO!AG45*CALCULO!AF45,
              IF(CAPA!$O$60 = "Teixeira (1996)",CALCULO!AT45,
                    IF(CAPA!$O$60 = "Média",CALCULO!AT45,0))))</f>
        <v>0</v>
      </c>
      <c r="I42" s="48" t="e">
        <f>IFERROR(C42*CALCULO!P45*IF(OR(CALCULO!C$5="C-Pré-moldada",CALCULO!C$5="B-Metálica"),6,IF(CALCULO!C$5="F-Hélice Contínua",4,3)),NA())</f>
        <v>#N/A</v>
      </c>
      <c r="J42" s="48">
        <f>J41+IF(-B42&gt;=CALCULO!C$18,D42,D42-CALCULO!C$19)</f>
        <v>153</v>
      </c>
      <c r="K42" s="48"/>
      <c r="L42" s="48">
        <f>-CAPA!I$89-B42</f>
        <v>-22</v>
      </c>
      <c r="M42" s="48">
        <f t="shared" si="14"/>
        <v>0</v>
      </c>
      <c r="N42" s="160">
        <f t="shared" si="1"/>
        <v>0</v>
      </c>
      <c r="O42" s="48">
        <f>IF(OR(L42&gt;=0,N42&lt;0),NA(),4*N42/(PI()*(CALCULO!$C$8*0.01+(-L42-0.5))^2))</f>
        <v>0</v>
      </c>
      <c r="P42" s="48" cm="1">
        <f t="array" ref="P42">IF(L41&lt;=0,
       tensao(-L41),
  NA())</f>
        <v>0.78648736224834048</v>
      </c>
      <c r="Q42" s="48" t="e">
        <f>IFERROR(
      (IF(ISNUMBER(O42),O42,0)+P42) / (I42*((J42+P42+IF(ISNUMBER(O42),O42,0))/J42)^CAPA!F$80),
NA())</f>
        <v>#N/A</v>
      </c>
      <c r="U42" s="48">
        <f>-CAPA!M$89-B42</f>
        <v>-27</v>
      </c>
      <c r="V42" s="48">
        <f>IF(B42&gt;CALCULO!$C$28,
        IF($H42*(PI()*$T$4/100)&lt;W41, $H42*(PI()*$T$4/100),W41), NA())</f>
        <v>0</v>
      </c>
      <c r="W42" s="160">
        <f t="shared" si="2"/>
        <v>0</v>
      </c>
      <c r="X42" s="48">
        <f t="shared" si="15"/>
        <v>0</v>
      </c>
      <c r="Y42" s="48" cm="1">
        <f t="array" ref="Y42">IF(U41&lt;=0,
       tensaogrupo(-U41,T$4),
  NA())</f>
        <v>0.59856910284292286</v>
      </c>
      <c r="Z42" s="48" t="e">
        <f>IFERROR(
      (IF(ISNUMBER(X42),X42,0)+Y42) / ($I42*(($J42+Y42+IF(ISNUMBER(X42),X42,0))/$J42)^CAPA!F$80),
NA())</f>
        <v>#N/A</v>
      </c>
      <c r="AD42" s="48">
        <f>-CAPA!P$89-$B42</f>
        <v>-31</v>
      </c>
      <c r="AE42" s="48">
        <f>IF($B42&gt;CALCULO!$C$28,
        IF($H42*(PI()*AC$4/100)&lt;AF41, $H42*(PI()*AC$4/100),AF41), NA())</f>
        <v>0</v>
      </c>
      <c r="AF42" s="48">
        <f t="shared" si="4"/>
        <v>56.755636154940177</v>
      </c>
      <c r="AG42" s="48">
        <f t="shared" si="5"/>
        <v>7.3892745668966989E-2</v>
      </c>
      <c r="AH42" s="48" cm="1">
        <f t="array" ref="AH42">IF(AD41&lt;=0,
       tensaogrupo(-AD41,AC$4),
  NA())</f>
        <v>0.48383618297622277</v>
      </c>
      <c r="AI42" s="119" t="e">
        <f>IFERROR(
      (IF(ISNUMBER(AG42),AG42,0)+AH42) / ($I42*((J42+AH42+IF(ISNUMBER(AG42),AG42,0))/J42)^CAPA!F$80),
NA())</f>
        <v>#N/A</v>
      </c>
      <c r="AM42" s="48">
        <f>-CAPA!S$89-$B42</f>
        <v>-31</v>
      </c>
      <c r="AN42" s="48">
        <f>IF($B42&gt;CALCULO!$C$28,
        IF($H42*(PI()*AL$4/100)&lt;AO41, $H42*(PI()*AL$4/100),AO41), NA())</f>
        <v>0</v>
      </c>
      <c r="AO42" s="48">
        <f t="shared" si="6"/>
        <v>0</v>
      </c>
      <c r="AP42" s="48">
        <f t="shared" si="17"/>
        <v>0</v>
      </c>
      <c r="AQ42" s="48">
        <f t="array" ref="AQ42">IF(AM41&lt;=0,
       tensaogrupo(-AM41,AL$4),
  NA())</f>
        <v>0.50467918448831894</v>
      </c>
      <c r="AR42" s="48" t="e">
        <f>IFERROR(
      (IF(ISNUMBER(AP42),AP42,0)+AQ42) / ($I42*((J42+AQ42+IF(ISNUMBER(AP42),AP42,0))/J42)^CAPA!F$80),
NA())</f>
        <v>#N/A</v>
      </c>
      <c r="AV42" s="48">
        <f>-CAPA!V$89-$B42</f>
        <v>-32</v>
      </c>
      <c r="AW42" s="48">
        <f>IF($B42&gt;CALCULO!$C$28,
        IF($H42*(PI()*AU$4/100)&lt;AX41, $H42*(PI()*AU$4/100),AX41), NA())</f>
        <v>0</v>
      </c>
      <c r="AX42" s="48">
        <f t="shared" si="7"/>
        <v>0</v>
      </c>
      <c r="AY42" s="48">
        <f t="shared" si="11"/>
        <v>0</v>
      </c>
      <c r="AZ42" s="48">
        <f t="array" ref="AZ42">IF(AV41&lt;=0,
       tensaogrupo(-AV41,AU$4),
  NA())</f>
        <v>0.4736063578077836</v>
      </c>
      <c r="BA42" s="3" t="e">
        <f>IFERROR(
      (IF(ISNUMBER(AY42),AY42,0)+AZ42) / ($I42*(($J42+AZ42+IF(ISNUMBER(AY42),AY42,0))/$J42)^CAPA!$F$80),
NA())</f>
        <v>#N/A</v>
      </c>
      <c r="BE42" s="48">
        <f>-CAPA!I$15-$B42</f>
        <v>-26</v>
      </c>
      <c r="BF42" s="48">
        <f>IF($B42&gt;CALCULO!$C$28,
        IF($H42*(PI()*BD$4/100)&lt;BG41, $H42*(PI()*BD$4/100),BG41), NA())</f>
        <v>0</v>
      </c>
      <c r="BG42" s="48">
        <f t="shared" si="8"/>
        <v>0</v>
      </c>
      <c r="BH42" s="48">
        <f t="shared" si="13"/>
        <v>0</v>
      </c>
      <c r="BI42" s="48">
        <f t="array" ref="BI42">IF(BE41&lt;=0,
       tensaogrupo(-BE41,BD$4),
  NA())</f>
        <v>0.59856910284292286</v>
      </c>
      <c r="BJ42" s="3" t="e">
        <f>IFERROR(
      (IF(ISNUMBER(BH42),BH42,0)+BI42) / ($I42*(($J42+BI42+IF(ISNUMBER(BH42),BH42,0))/$J42)^CAPA!$F$80),
NA())</f>
        <v>#N/A</v>
      </c>
    </row>
    <row r="43" spans="1:62">
      <c r="A43" s="118" t="str">
        <f xml:space="preserve"> IF(CAPA!F48= ""," ",CAPA!F48)</f>
        <v xml:space="preserve"> </v>
      </c>
      <c r="B43" s="2">
        <v>40</v>
      </c>
      <c r="C43" s="48">
        <f>CAPA!D48</f>
        <v>0</v>
      </c>
      <c r="D43" s="48">
        <f>CAPA!E48</f>
        <v>0</v>
      </c>
      <c r="E43" s="119">
        <f>C43*IFERROR(INDEX(Compatibilidade!$G$6:$G$20,MATCH(A43,Compatibilidade!$C$6:$C$20,0)) * INDEX(Compatibilidade!$H$6:$H$20,MATCH(A43,Compatibilidade!$C$6:$C$20,0)),"0")</f>
        <v>0</v>
      </c>
      <c r="F43" s="119"/>
      <c r="G43" s="3">
        <f>IF(B43&gt;CALCULO!$C$28,CALCULO!$C$15,NA())</f>
        <v>0.81681408993334625</v>
      </c>
      <c r="H43" s="3">
        <f>IF(CAPA!$O$60 = "Aoki-Velloso (1975)",CALCULO!S46,
        IF(CAPA!$O$60 = "Décourt-Quaresma (1978)",CALCULO!AG46*CALCULO!AF46,
              IF(CAPA!$O$60 = "Teixeira (1996)",CALCULO!AT46,
                    IF(CAPA!$O$60 = "Média",CALCULO!AT46,0))))</f>
        <v>0</v>
      </c>
      <c r="I43" s="48" t="e">
        <f>IFERROR(C43*CALCULO!P46*IF(OR(CALCULO!C$5="C-Pré-moldada",CALCULO!C$5="B-Metálica"),6,IF(CALCULO!C$5="F-Hélice Contínua",4,3)),NA())</f>
        <v>#N/A</v>
      </c>
      <c r="J43" s="48">
        <f>J42+IF(-B43&gt;=CALCULO!C$18,D43,D43-CALCULO!C$19)</f>
        <v>143</v>
      </c>
      <c r="K43" s="48"/>
      <c r="L43" s="48">
        <f>-CAPA!I$89-B43</f>
        <v>-23</v>
      </c>
      <c r="M43" s="48">
        <f t="shared" si="14"/>
        <v>0</v>
      </c>
      <c r="N43" s="160">
        <f t="shared" si="1"/>
        <v>0</v>
      </c>
      <c r="O43" s="48">
        <f>IF(OR(L43&gt;=0,N43&lt;0),NA(),4*N43/(PI()*(CALCULO!$C$8*0.01+(-L43-0.5))^2))</f>
        <v>0</v>
      </c>
      <c r="P43" s="48" cm="1">
        <f t="array" ref="P43">IF(L42&lt;=0,
       tensao(-L42),
  NA())</f>
        <v>0.73295648449044393</v>
      </c>
      <c r="Q43" s="48" t="e">
        <f>IFERROR(
      (IF(ISNUMBER(O43),O43,0)+P43) / (I43*((J43+P43+IF(ISNUMBER(O43),O43,0))/J43)^CAPA!F$80),
NA())</f>
        <v>#N/A</v>
      </c>
      <c r="U43" s="48">
        <f>-CAPA!M$89-B43</f>
        <v>-28</v>
      </c>
      <c r="V43" s="48">
        <f>IF(B43&gt;CALCULO!$C$28,
        IF($H43*(PI()*$T$4/100)&lt;W42, $H43*(PI()*$T$4/100),W42), NA())</f>
        <v>0</v>
      </c>
      <c r="W43" s="160">
        <f t="shared" si="2"/>
        <v>0</v>
      </c>
      <c r="X43" s="48">
        <f t="shared" si="15"/>
        <v>0</v>
      </c>
      <c r="Y43" s="48" cm="1">
        <f t="array" ref="Y43">IF(U42&lt;=0,
       tensaogrupo(-U42,T$4),
  NA())</f>
        <v>0.56320811213995736</v>
      </c>
      <c r="Z43" s="48" t="e">
        <f>IFERROR(
      (IF(ISNUMBER(X43),X43,0)+Y43) / ($I43*(($J43+Y43+IF(ISNUMBER(X43),X43,0))/$J43)^CAPA!F$80),
NA())</f>
        <v>#N/A</v>
      </c>
      <c r="AD43" s="48">
        <f>-CAPA!P$89-$B43</f>
        <v>-32</v>
      </c>
      <c r="AE43" s="48">
        <f>IF($B43&gt;CALCULO!$C$28,
        IF($H43*(PI()*AC$4/100)&lt;AF42, $H43*(PI()*AC$4/100),AF42), NA())</f>
        <v>0</v>
      </c>
      <c r="AF43" s="48">
        <f t="shared" si="4"/>
        <v>56.755636154940177</v>
      </c>
      <c r="AG43" s="48">
        <f t="shared" si="5"/>
        <v>6.9384353021988907E-2</v>
      </c>
      <c r="AH43" s="48" cm="1">
        <f t="array" ref="AH43">IF(AD42&lt;=0,
       tensaogrupo(-AD42,AC$4),
  NA())</f>
        <v>0.45654821008211488</v>
      </c>
      <c r="AI43" s="48" t="e">
        <f>IFERROR(
      (IF(ISNUMBER(AG43),AG43,0)+AH43) / ($I43*((J43+AH43+IF(ISNUMBER(AG43),AG43,0))/J43)^CAPA!F$80),
NA())</f>
        <v>#N/A</v>
      </c>
      <c r="AM43" s="48">
        <f>-CAPA!S$89-$B43</f>
        <v>-32</v>
      </c>
      <c r="AN43" s="48">
        <f>IF($B43&gt;CALCULO!$C$28,
        IF($H43*(PI()*AL$4/100)&lt;AO42, $H43*(PI()*AL$4/100),AO42), NA())</f>
        <v>0</v>
      </c>
      <c r="AO43" s="48">
        <f t="shared" si="6"/>
        <v>0</v>
      </c>
      <c r="AP43" s="48">
        <f t="shared" si="17"/>
        <v>0</v>
      </c>
      <c r="AQ43" s="48">
        <f t="array" ref="AQ43">IF(AM42&lt;=0,
       tensaogrupo(-AM42,AL$4),
  NA())</f>
        <v>0.47731034351950441</v>
      </c>
      <c r="AR43" s="48" t="e">
        <f>IFERROR(
      (IF(ISNUMBER(AP43),AP43,0)+AQ43) / ($I43*((J43+AQ43+IF(ISNUMBER(AP43),AP43,0))/J43)^CAPA!F$80),
NA())</f>
        <v>#N/A</v>
      </c>
      <c r="AV43" s="48">
        <f>-CAPA!V$89-$B43</f>
        <v>-33</v>
      </c>
      <c r="AW43" s="48">
        <f>IF($B43&gt;CALCULO!$C$28,
        IF($H43*(PI()*AU$4/100)&lt;AX42, $H43*(PI()*AU$4/100),AX42), NA())</f>
        <v>0</v>
      </c>
      <c r="AX43" s="48">
        <f t="shared" si="7"/>
        <v>0</v>
      </c>
      <c r="AY43" s="48">
        <f t="shared" si="11"/>
        <v>0</v>
      </c>
      <c r="AZ43" s="48">
        <f t="array" ref="AZ43">IF(AV42&lt;=0,
       tensaogrupo(-AV42,AU$4),
  NA())</f>
        <v>0.44872800018920611</v>
      </c>
      <c r="BA43" s="3" t="e">
        <f>IFERROR(
      (IF(ISNUMBER(AY43),AY43,0)+AZ43) / ($I43*(($J43+AZ43+IF(ISNUMBER(AY43),AY43,0))/$J43)^CAPA!$F$80),
NA())</f>
        <v>#N/A</v>
      </c>
      <c r="BE43" s="48">
        <f>-CAPA!I$15-$B43</f>
        <v>-27</v>
      </c>
      <c r="BF43" s="48">
        <f>IF($B43&gt;CALCULO!$C$28,
        IF($H43*(PI()*BD$4/100)&lt;BG42, $H43*(PI()*BD$4/100),BG42), NA())</f>
        <v>0</v>
      </c>
      <c r="BG43" s="48">
        <f t="shared" si="8"/>
        <v>0</v>
      </c>
      <c r="BH43" s="48">
        <f t="shared" si="13"/>
        <v>0</v>
      </c>
      <c r="BI43" s="48">
        <f t="array" ref="BI43">IF(BE42&lt;=0,
       tensaogrupo(-BE42,BD$4),
  NA())</f>
        <v>0.56320811213995725</v>
      </c>
      <c r="BJ43" s="3" t="e">
        <f>IFERROR(
      (IF(ISNUMBER(BH43),BH43,0)+BI43) / ($I43*(($J43+BI43+IF(ISNUMBER(BH43),BH43,0))/$J43)^CAPA!$F$80),
NA())</f>
        <v>#N/A</v>
      </c>
    </row>
    <row r="44" spans="1:62">
      <c r="A44" s="118" t="str">
        <f xml:space="preserve"> IF(CAPA!F49= ""," ",CAPA!F49)</f>
        <v xml:space="preserve"> </v>
      </c>
      <c r="B44" s="2">
        <v>41</v>
      </c>
      <c r="C44" s="48">
        <f>CAPA!D49</f>
        <v>0</v>
      </c>
      <c r="D44" s="48">
        <f>CAPA!E49</f>
        <v>0</v>
      </c>
      <c r="E44" s="119">
        <f>C44*IFERROR(INDEX(Compatibilidade!$G$6:$G$20,MATCH(A44,Compatibilidade!$C$6:$C$20,0)) * INDEX(Compatibilidade!$H$6:$H$20,MATCH(A44,Compatibilidade!$C$6:$C$20,0)),"0")</f>
        <v>0</v>
      </c>
      <c r="F44" s="119"/>
      <c r="G44" s="3">
        <f>IF(B44&gt;CALCULO!$C$28,CALCULO!$C$15,NA())</f>
        <v>0.81681408993334625</v>
      </c>
      <c r="H44" s="3">
        <f>IF(CAPA!$O$60 = "Aoki-Velloso (1975)",CALCULO!S47,
        IF(CAPA!$O$60 = "Décourt-Quaresma (1978)",CALCULO!AG47*CALCULO!AF47,
              IF(CAPA!$O$60 = "Teixeira (1996)",CALCULO!AT47,
                    IF(CAPA!$O$60 = "Média",CALCULO!AT47,0))))</f>
        <v>0</v>
      </c>
      <c r="I44" s="48" t="e">
        <f>IFERROR(C44*CALCULO!P47*IF(OR(CALCULO!C$5="C-Pré-moldada",CALCULO!C$5="B-Metálica"),6,IF(CALCULO!C$5="F-Hélice Contínua",4,3)),NA())</f>
        <v>#N/A</v>
      </c>
      <c r="J44" s="48">
        <f>J43+IF(-B44&gt;=CALCULO!C$18,D44,D44-CALCULO!C$19)</f>
        <v>133</v>
      </c>
      <c r="K44" s="48"/>
      <c r="L44" s="48">
        <f>-CAPA!I$89-B44</f>
        <v>-24</v>
      </c>
      <c r="M44" s="48">
        <f t="shared" si="14"/>
        <v>0</v>
      </c>
      <c r="N44" s="160">
        <f t="shared" si="1"/>
        <v>0</v>
      </c>
      <c r="O44" s="48">
        <f>IF(OR(L44&gt;=0,N44&lt;0),NA(),4*N44/(PI()*(CALCULO!$C$8*0.01+(-L44-0.5))^2))</f>
        <v>0</v>
      </c>
      <c r="P44" s="48" cm="1">
        <f t="array" ref="P44">IF(L43&lt;=0,
       tensao(-L43),
  NA())</f>
        <v>0.68476734874782452</v>
      </c>
      <c r="Q44" s="48" t="e">
        <f>IFERROR(
      (IF(ISNUMBER(O44),O44,0)+P44) / (I44*((J44+P44+IF(ISNUMBER(O44),O44,0))/J44)^CAPA!F$80),
NA())</f>
        <v>#N/A</v>
      </c>
      <c r="U44" s="48">
        <f>-CAPA!M$89-B44</f>
        <v>-29</v>
      </c>
      <c r="V44" s="48">
        <f>IF(B44&gt;CALCULO!$C$28,
        IF($H44*(PI()*$T$4/100)&lt;W43, $H44*(PI()*$T$4/100),W43), NA())</f>
        <v>0</v>
      </c>
      <c r="W44" s="160">
        <f t="shared" si="2"/>
        <v>0</v>
      </c>
      <c r="X44" s="48">
        <f t="shared" si="15"/>
        <v>0</v>
      </c>
      <c r="Y44" s="48" cm="1">
        <f t="array" ref="Y44">IF(U43&lt;=0,
       tensaogrupo(-U43,T$4),
  NA())</f>
        <v>0.53090425019200249</v>
      </c>
      <c r="Z44" s="48" t="e">
        <f>IFERROR(
      (IF(ISNUMBER(X44),X44,0)+Y44) / ($I44*(($J44+Y44+IF(ISNUMBER(X44),X44,0))/$J44)^CAPA!F$80),
NA())</f>
        <v>#N/A</v>
      </c>
      <c r="AD44" s="48">
        <f>-CAPA!P$89-$B44</f>
        <v>-33</v>
      </c>
      <c r="AE44" s="48">
        <f>IF($B44&gt;CALCULO!$C$28,
        IF($H44*(PI()*AC$4/100)&lt;AF43, $H44*(PI()*AC$4/100),AF43), NA())</f>
        <v>0</v>
      </c>
      <c r="AF44" s="48">
        <f t="shared" si="4"/>
        <v>56.755636154940177</v>
      </c>
      <c r="AG44" s="48">
        <f t="shared" si="5"/>
        <v>6.5276320287284056E-2</v>
      </c>
      <c r="AH44" s="48" cm="1">
        <f t="array" ref="AH44">IF(AD43&lt;=0,
       tensaogrupo(-AD43,AC$4),
  NA())</f>
        <v>0.43151282310962291</v>
      </c>
      <c r="AI44" s="48" t="e">
        <f>IFERROR(
      (IF(ISNUMBER(AG44),AG44,0)+AH44) / ($I44*((J44+AH44+IF(ISNUMBER(AG44),AG44,0))/J44)^CAPA!F$80),
NA())</f>
        <v>#N/A</v>
      </c>
      <c r="AM44" s="48">
        <f>-CAPA!S$89-$B44</f>
        <v>-33</v>
      </c>
      <c r="AN44" s="48">
        <f>IF($B44&gt;CALCULO!$C$28,
        IF($H44*(PI()*AL$4/100)&lt;AO43, $H44*(PI()*AL$4/100),AO43), NA())</f>
        <v>0</v>
      </c>
      <c r="AO44" s="48">
        <f t="shared" si="6"/>
        <v>0</v>
      </c>
      <c r="AP44" s="48">
        <f t="shared" si="17"/>
        <v>0</v>
      </c>
      <c r="AQ44" s="48">
        <f t="array" ref="AQ44">IF(AM43&lt;=0,
       tensaogrupo(-AM43,AL$4),
  NA())</f>
        <v>0.4521141203897151</v>
      </c>
      <c r="AR44" s="48" t="e">
        <f>IFERROR(
      (IF(ISNUMBER(AP44),AP44,0)+AQ44) / ($I44*((J44+AQ44+IF(ISNUMBER(AP44),AP44,0))/J44)^CAPA!F$80),
NA())</f>
        <v>#N/A</v>
      </c>
      <c r="AV44" s="48">
        <f>-CAPA!V$89-$B44</f>
        <v>-34</v>
      </c>
      <c r="AW44" s="48">
        <f>IF($B44&gt;CALCULO!$C$28,
        IF($H44*(PI()*AU$4/100)&lt;AX43, $H44*(PI()*AU$4/100),AX43), NA())</f>
        <v>0</v>
      </c>
      <c r="AX44" s="48">
        <f t="shared" si="7"/>
        <v>0</v>
      </c>
      <c r="AY44" s="48">
        <f t="shared" si="11"/>
        <v>0</v>
      </c>
      <c r="AZ44" s="48">
        <f t="array" ref="AZ44">IF(AV43&lt;=0,
       tensaogrupo(-AV43,AU$4),
  NA())</f>
        <v>0.42576267202929757</v>
      </c>
      <c r="BA44" s="3" t="e">
        <f>IFERROR(
      (IF(ISNUMBER(AY44),AY44,0)+AZ44) / ($I44*(($J44+AZ44+IF(ISNUMBER(AY44),AY44,0))/$J44)^CAPA!$F$80),
NA())</f>
        <v>#N/A</v>
      </c>
      <c r="BE44" s="48">
        <f>-CAPA!I$15-$B44</f>
        <v>-28</v>
      </c>
      <c r="BF44" s="48">
        <f>IF($B44&gt;CALCULO!$C$28,
        IF($H44*(PI()*BD$4/100)&lt;BG43, $H44*(PI()*BD$4/100),BG43), NA())</f>
        <v>0</v>
      </c>
      <c r="BG44" s="48">
        <f t="shared" si="8"/>
        <v>0</v>
      </c>
      <c r="BH44" s="48">
        <f t="shared" si="13"/>
        <v>0</v>
      </c>
      <c r="BI44" s="48">
        <f t="array" ref="BI44">IF(BE43&lt;=0,
       tensaogrupo(-BE43,BD$4),
  NA())</f>
        <v>0.53090425019200249</v>
      </c>
      <c r="BJ44" s="3" t="e">
        <f>IFERROR(
      (IF(ISNUMBER(BH44),BH44,0)+BI44) / ($I44*(($J44+BI44+IF(ISNUMBER(BH44),BH44,0))/$J44)^CAPA!$F$80),
NA())</f>
        <v>#N/A</v>
      </c>
    </row>
    <row r="45" spans="1:62">
      <c r="A45" s="118" t="str">
        <f xml:space="preserve"> IF(CAPA!F50= ""," ",CAPA!F50)</f>
        <v xml:space="preserve"> </v>
      </c>
      <c r="B45" s="2">
        <v>42</v>
      </c>
      <c r="C45" s="48">
        <f>CAPA!D50</f>
        <v>0</v>
      </c>
      <c r="D45" s="48">
        <f>CAPA!E50</f>
        <v>0</v>
      </c>
      <c r="E45" s="119">
        <f>C45*IFERROR(INDEX(Compatibilidade!$G$6:$G$20,MATCH(A45,Compatibilidade!$C$6:$C$20,0)) * INDEX(Compatibilidade!$H$6:$H$20,MATCH(A45,Compatibilidade!$C$6:$C$20,0)),"0")</f>
        <v>0</v>
      </c>
      <c r="F45" s="119"/>
      <c r="G45" s="3">
        <f>IF(B45&gt;CALCULO!$C$28,CALCULO!$C$15,NA())</f>
        <v>0.81681408993334625</v>
      </c>
      <c r="H45" s="3">
        <f>IF(CAPA!$O$60 = "Aoki-Velloso (1975)",CALCULO!S48,
        IF(CAPA!$O$60 = "Décourt-Quaresma (1978)",CALCULO!AG48*CALCULO!AF48,
              IF(CAPA!$O$60 = "Teixeira (1996)",CALCULO!AT48,
                    IF(CAPA!$O$60 = "Média",CALCULO!AT48,0))))</f>
        <v>0</v>
      </c>
      <c r="I45" s="48" t="e">
        <f>IFERROR(C45*CALCULO!P48*IF(OR(CALCULO!C$5="C-Pré-moldada",CALCULO!C$5="B-Metálica"),6,IF(CALCULO!C$5="F-Hélice Contínua",4,3)),NA())</f>
        <v>#N/A</v>
      </c>
      <c r="J45" s="48">
        <f>J44+IF(-B45&gt;=CALCULO!C$18,D45,D45-CALCULO!C$19)</f>
        <v>123</v>
      </c>
      <c r="K45" s="48"/>
      <c r="L45" s="48">
        <f>-CAPA!I$89-B45</f>
        <v>-25</v>
      </c>
      <c r="M45" s="48">
        <f t="shared" si="14"/>
        <v>0</v>
      </c>
      <c r="N45" s="160">
        <f t="shared" si="1"/>
        <v>0</v>
      </c>
      <c r="O45" s="48">
        <f>IF(OR(L45&gt;=0,N45&lt;0),NA(),4*N45/(PI()*(CALCULO!$C$8*0.01+(-L45-0.5))^2))</f>
        <v>0</v>
      </c>
      <c r="P45" s="48" cm="1">
        <f t="array" ref="P45">IF(L44&lt;=0,
       tensao(-L44),
  NA())</f>
        <v>0.64122581217300423</v>
      </c>
      <c r="Q45" s="48" t="e">
        <f>IFERROR(
      (IF(ISNUMBER(O45),O45,0)+P45) / (I45*((J45+P45+IF(ISNUMBER(O45),O45,0))/J45)^CAPA!F$80),
NA())</f>
        <v>#N/A</v>
      </c>
      <c r="U45" s="48">
        <f>-CAPA!M$89-B45</f>
        <v>-30</v>
      </c>
      <c r="V45" s="48">
        <f>IF(B45&gt;CALCULO!$C$28,
        IF($H45*(PI()*$T$4/100)&lt;W44, $H45*(PI()*$T$4/100),W44), NA())</f>
        <v>0</v>
      </c>
      <c r="W45" s="160">
        <f t="shared" si="2"/>
        <v>0</v>
      </c>
      <c r="X45" s="48">
        <f t="shared" si="15"/>
        <v>0</v>
      </c>
      <c r="Y45" s="48" cm="1">
        <f t="array" ref="Y45">IF(U44&lt;=0,
       tensaogrupo(-U44,T$4),
  NA())</f>
        <v>0.50131362178279681</v>
      </c>
      <c r="Z45" s="48" t="e">
        <f>IFERROR(
      (IF(ISNUMBER(X45),X45,0)+Y45) / ($I45*(($J45+Y45+IF(ISNUMBER(X45),X45,0))/$J45)^CAPA!F$80),
NA())</f>
        <v>#N/A</v>
      </c>
      <c r="AD45" s="48">
        <f>-CAPA!P$89-$B45</f>
        <v>-34</v>
      </c>
      <c r="AE45" s="48">
        <f>IF($B45&gt;CALCULO!$C$28,
        IF($H45*(PI()*AC$4/100)&lt;AF44, $H45*(PI()*AC$4/100),AF44), NA())</f>
        <v>0</v>
      </c>
      <c r="AF45" s="48">
        <f t="shared" si="4"/>
        <v>56.755636154940177</v>
      </c>
      <c r="AG45" s="48">
        <f t="shared" si="5"/>
        <v>6.1522609159814404E-2</v>
      </c>
      <c r="AH45" s="48" cm="1">
        <f t="array" ref="AH45">IF(AD44&lt;=0,
       tensaogrupo(-AD44,AC$4),
  NA())</f>
        <v>0.40848800613275371</v>
      </c>
      <c r="AI45" s="48" t="e">
        <f>IFERROR(
      (IF(ISNUMBER(AG45),AG45,0)+AH45) / ($I45*((J45+AH45+IF(ISNUMBER(AG45),AG45,0))/J45)^CAPA!F$80),
NA())</f>
        <v>#N/A</v>
      </c>
      <c r="AM45" s="48">
        <f>-CAPA!S$89-$B45</f>
        <v>-34</v>
      </c>
      <c r="AN45" s="48">
        <f>IF($B45&gt;CALCULO!$C$28,
        IF($H45*(PI()*AL$4/100)&lt;AO44, $H45*(PI()*AL$4/100),AO44), NA())</f>
        <v>0</v>
      </c>
      <c r="AO45" s="48">
        <f t="shared" si="6"/>
        <v>0</v>
      </c>
      <c r="AP45" s="48">
        <f t="shared" si="17"/>
        <v>0</v>
      </c>
      <c r="AQ45" s="48">
        <f t="array" ref="AQ45">IF(AM44&lt;=0,
       tensaogrupo(-AM44,AL$4),
  NA())</f>
        <v>0.42886599521601731</v>
      </c>
      <c r="AR45" s="48" t="e">
        <f>IFERROR(
      (IF(ISNUMBER(AP45),AP45,0)+AQ45) / ($I45*((J45+AQ45+IF(ISNUMBER(AP45),AP45,0))/J45)^CAPA!F$80),
NA())</f>
        <v>#N/A</v>
      </c>
      <c r="AV45" s="48">
        <f>-CAPA!V$89-$B45</f>
        <v>-35</v>
      </c>
      <c r="AW45" s="48">
        <f>IF($B45&gt;CALCULO!$C$28,
        IF($H45*(PI()*AU$4/100)&lt;AX44, $H45*(PI()*AU$4/100),AX44), NA())</f>
        <v>0</v>
      </c>
      <c r="AX45" s="48">
        <f t="shared" si="7"/>
        <v>0</v>
      </c>
      <c r="AY45" s="48">
        <f t="shared" si="11"/>
        <v>0</v>
      </c>
      <c r="AZ45" s="48">
        <f t="array" ref="AZ45">IF(AV44&lt;=0,
       tensaogrupo(-AV44,AU$4),
  NA())</f>
        <v>0.40451885952216238</v>
      </c>
      <c r="BA45" s="3" t="e">
        <f>IFERROR(
      (IF(ISNUMBER(AY45),AY45,0)+AZ45) / ($I45*(($J45+AZ45+IF(ISNUMBER(AY45),AY45,0))/$J45)^CAPA!$F$80),
NA())</f>
        <v>#N/A</v>
      </c>
      <c r="BE45" s="48">
        <f>-CAPA!I$15-$B45</f>
        <v>-29</v>
      </c>
      <c r="BF45" s="48">
        <f>IF($B45&gt;CALCULO!$C$28,
        IF($H45*(PI()*BD$4/100)&lt;BG44, $H45*(PI()*BD$4/100),BG44), NA())</f>
        <v>0</v>
      </c>
      <c r="BG45" s="48">
        <f t="shared" si="8"/>
        <v>0</v>
      </c>
      <c r="BH45" s="48">
        <f t="shared" si="13"/>
        <v>0</v>
      </c>
      <c r="BI45" s="48">
        <f t="array" ref="BI45">IF(BE44&lt;=0,
       tensaogrupo(-BE44,BD$4),
  NA())</f>
        <v>0.50131362178279681</v>
      </c>
      <c r="BJ45" s="3" t="e">
        <f>IFERROR(
      (IF(ISNUMBER(BH45),BH45,0)+BI45) / ($I45*(($J45+BI45+IF(ISNUMBER(BH45),BH45,0))/$J45)^CAPA!$F$80),
NA())</f>
        <v>#N/A</v>
      </c>
    </row>
    <row r="46" spans="1:62">
      <c r="A46" s="118" t="str">
        <f xml:space="preserve"> IF(CAPA!F51= ""," ",CAPA!F51)</f>
        <v xml:space="preserve"> </v>
      </c>
      <c r="B46" s="2">
        <v>43</v>
      </c>
      <c r="C46" s="48">
        <f>CAPA!D51</f>
        <v>0</v>
      </c>
      <c r="D46" s="48">
        <f>CAPA!E51</f>
        <v>0</v>
      </c>
      <c r="E46" s="119">
        <f>C46*IFERROR(INDEX(Compatibilidade!$G$6:$G$20,MATCH(A46,Compatibilidade!$C$6:$C$20,0)) * INDEX(Compatibilidade!$H$6:$H$20,MATCH(A46,Compatibilidade!$C$6:$C$20,0)),"0")</f>
        <v>0</v>
      </c>
      <c r="F46" s="119"/>
      <c r="G46" s="3">
        <f>IF(B46&gt;CALCULO!$C$28,CALCULO!$C$15,NA())</f>
        <v>0.81681408993334625</v>
      </c>
      <c r="H46" s="3">
        <f>IF(CAPA!$O$60 = "Aoki-Velloso (1975)",CALCULO!S49,
        IF(CAPA!$O$60 = "Décourt-Quaresma (1978)",CALCULO!AG49*CALCULO!AF49,
              IF(CAPA!$O$60 = "Teixeira (1996)",CALCULO!AT49,
                    IF(CAPA!$O$60 = "Média",CALCULO!AT49,0))))</f>
        <v>0</v>
      </c>
      <c r="I46" s="48" t="e">
        <f>IFERROR(C46*CALCULO!P49*IF(OR(CALCULO!C$5="C-Pré-moldada",CALCULO!C$5="B-Metálica"),6,IF(CALCULO!C$5="F-Hélice Contínua",4,3)),NA())</f>
        <v>#N/A</v>
      </c>
      <c r="J46" s="48">
        <f>J45+IF(-B46&gt;=CALCULO!C$18,D46,D46-CALCULO!C$19)</f>
        <v>113</v>
      </c>
      <c r="K46" s="48"/>
      <c r="L46" s="48">
        <f>-CAPA!I$89-B46</f>
        <v>-26</v>
      </c>
      <c r="M46" s="48">
        <f t="shared" si="14"/>
        <v>0</v>
      </c>
      <c r="N46" s="160">
        <f t="shared" si="1"/>
        <v>0</v>
      </c>
      <c r="O46" s="48">
        <f>IF(OR(L46&gt;=0,N46&lt;0),NA(),4*N46/(PI()*(CALCULO!$C$8*0.01+(-L46-0.5))^2))</f>
        <v>0</v>
      </c>
      <c r="P46" s="48" cm="1">
        <f t="array" ref="P46">IF(L45&lt;=0,
       tensao(-L45),
  NA())</f>
        <v>0.60174779271811873</v>
      </c>
      <c r="Q46" s="48" t="e">
        <f>IFERROR(
      (IF(ISNUMBER(O46),O46,0)+P46) / (I46*((J46+P46+IF(ISNUMBER(O46),O46,0))/J46)^CAPA!F$80),
NA())</f>
        <v>#N/A</v>
      </c>
      <c r="U46" s="48">
        <f>-CAPA!M$89-B46</f>
        <v>-31</v>
      </c>
      <c r="V46" s="48">
        <f>IF(B46&gt;CALCULO!$C$28,
        IF($H46*(PI()*$T$4/100)&lt;W45, $H46*(PI()*$T$4/100),W45), NA())</f>
        <v>0</v>
      </c>
      <c r="W46" s="160">
        <f t="shared" si="2"/>
        <v>0</v>
      </c>
      <c r="X46" s="48">
        <f t="shared" si="15"/>
        <v>0</v>
      </c>
      <c r="Y46" s="48" cm="1">
        <f t="array" ref="Y46">IF(U45&lt;=0,
       tensaogrupo(-U45,T$4),
  NA())</f>
        <v>0.47413953141966708</v>
      </c>
      <c r="Z46" s="48" t="e">
        <f>IFERROR(
      (IF(ISNUMBER(X46),X46,0)+Y46) / ($I46*(($J46+Y46+IF(ISNUMBER(X46),X46,0))/$J46)^CAPA!F$80),
NA())</f>
        <v>#N/A</v>
      </c>
      <c r="AD46" s="48">
        <f>-CAPA!P$89-$B46</f>
        <v>-35</v>
      </c>
      <c r="AE46" s="48">
        <f>IF($B46&gt;CALCULO!$C$28,
        IF($H46*(PI()*AC$4/100)&lt;AF45, $H46*(PI()*AC$4/100),AF45), NA())</f>
        <v>0</v>
      </c>
      <c r="AF46" s="48">
        <f t="shared" si="4"/>
        <v>56.755636154940177</v>
      </c>
      <c r="AG46" s="48">
        <f t="shared" si="5"/>
        <v>5.8083613553979049E-2</v>
      </c>
      <c r="AH46" s="48" cm="1">
        <f t="array" ref="AH46">IF(AD45&lt;=0,
       tensaogrupo(-AD45,AC$4),
  NA())</f>
        <v>0.38726348232838953</v>
      </c>
      <c r="AI46" s="48" t="e">
        <f>IFERROR(
      (IF(ISNUMBER(AG46),AG46,0)+AH46) / ($I46*((J46+AH46+IF(ISNUMBER(AG46),AG46,0))/J46)^CAPA!F$80),
NA())</f>
        <v>#N/A</v>
      </c>
      <c r="AM46" s="48">
        <f>-CAPA!S$89-$B46</f>
        <v>-35</v>
      </c>
      <c r="AN46" s="48">
        <f>IF($B46&gt;CALCULO!$C$28,
        IF($H46*(PI()*AL$4/100)&lt;AO45, $H46*(PI()*AL$4/100),AO45), NA())</f>
        <v>0</v>
      </c>
      <c r="AO46" s="48">
        <f t="shared" si="6"/>
        <v>0</v>
      </c>
      <c r="AP46" s="48">
        <f t="shared" si="17"/>
        <v>0</v>
      </c>
      <c r="AQ46" s="48">
        <f t="array" ref="AQ46">IF(AM45&lt;=0,
       tensaogrupo(-AM45,AL$4),
  NA())</f>
        <v>0.40736977795474305</v>
      </c>
      <c r="AR46" s="48" t="e">
        <f>IFERROR(
      (IF(ISNUMBER(AP46),AP46,0)+AQ46) / ($I46*((J46+AQ46+IF(ISNUMBER(AP46),AP46,0))/J46)^CAPA!F$80),
NA())</f>
        <v>#N/A</v>
      </c>
      <c r="AV46" s="48">
        <f>-CAPA!V$89-$B46</f>
        <v>-36</v>
      </c>
      <c r="AW46" s="48">
        <f>IF($B46&gt;CALCULO!$C$28,
        IF($H46*(PI()*AU$4/100)&lt;AX45, $H46*(PI()*AU$4/100),AX45), NA())</f>
        <v>0</v>
      </c>
      <c r="AX46" s="48">
        <f t="shared" si="7"/>
        <v>0</v>
      </c>
      <c r="AY46" s="48">
        <f t="shared" si="11"/>
        <v>0</v>
      </c>
      <c r="AZ46" s="48">
        <f t="array" ref="AZ46">IF(AV45&lt;=0,
       tensaogrupo(-AV45,AU$4),
  NA())</f>
        <v>0.38482846161061057</v>
      </c>
      <c r="BA46" s="3" t="e">
        <f>IFERROR(
      (IF(ISNUMBER(AY46),AY46,0)+AZ46) / ($I46*(($J46+AZ46+IF(ISNUMBER(AY46),AY46,0))/$J46)^CAPA!$F$80),
NA())</f>
        <v>#N/A</v>
      </c>
      <c r="BE46" s="48">
        <f>-CAPA!I$15-$B46</f>
        <v>-30</v>
      </c>
      <c r="BF46" s="48">
        <f>IF($B46&gt;CALCULO!$C$28,
        IF($H46*(PI()*BD$4/100)&lt;BG45, $H46*(PI()*BD$4/100),BG45), NA())</f>
        <v>0</v>
      </c>
      <c r="BG46" s="48">
        <f t="shared" si="8"/>
        <v>0</v>
      </c>
      <c r="BH46" s="48">
        <f t="shared" si="13"/>
        <v>0</v>
      </c>
      <c r="BI46" s="48">
        <f t="array" ref="BI46">IF(BE45&lt;=0,
       tensaogrupo(-BE45,BD$4),
  NA())</f>
        <v>0.47413953141966708</v>
      </c>
      <c r="BJ46" s="3" t="e">
        <f>IFERROR(
      (IF(ISNUMBER(BH46),BH46,0)+BI46) / ($I46*(($J46+BI46+IF(ISNUMBER(BH46),BH46,0))/$J46)^CAPA!$F$80),
NA())</f>
        <v>#N/A</v>
      </c>
    </row>
    <row r="47" spans="1:62">
      <c r="A47" s="118" t="str">
        <f xml:space="preserve"> IF(CAPA!F52= ""," ",CAPA!F52)</f>
        <v xml:space="preserve"> </v>
      </c>
      <c r="B47" s="2">
        <v>44</v>
      </c>
      <c r="C47" s="48">
        <f>CAPA!D52</f>
        <v>0</v>
      </c>
      <c r="D47" s="48">
        <f>CAPA!E52</f>
        <v>0</v>
      </c>
      <c r="E47" s="119">
        <f>C47*IFERROR(INDEX(Compatibilidade!$G$6:$G$20,MATCH(A47,Compatibilidade!$C$6:$C$20,0)) * INDEX(Compatibilidade!$H$6:$H$20,MATCH(A47,Compatibilidade!$C$6:$C$20,0)),"0")</f>
        <v>0</v>
      </c>
      <c r="F47" s="119"/>
      <c r="G47" s="3">
        <f>IF(B47&gt;CALCULO!$C$28,CALCULO!$C$15,NA())</f>
        <v>0.81681408993334625</v>
      </c>
      <c r="H47" s="3">
        <f>IF(CAPA!$O$60 = "Aoki-Velloso (1975)",CALCULO!S50,
        IF(CAPA!$O$60 = "Décourt-Quaresma (1978)",CALCULO!AG50*CALCULO!AF50,
              IF(CAPA!$O$60 = "Teixeira (1996)",CALCULO!AT50,
                    IF(CAPA!$O$60 = "Média",CALCULO!AT50,0))))</f>
        <v>0</v>
      </c>
      <c r="I47" s="48" t="e">
        <f>IFERROR(C47*CALCULO!P50*IF(OR(CALCULO!C$5="C-Pré-moldada",CALCULO!C$5="B-Metálica"),6,IF(CALCULO!C$5="F-Hélice Contínua",4,3)),NA())</f>
        <v>#N/A</v>
      </c>
      <c r="J47" s="48">
        <f>J46+IF(-B47&gt;=CALCULO!C$18,D47,D47-CALCULO!C$19)</f>
        <v>103</v>
      </c>
      <c r="K47" s="48"/>
      <c r="L47" s="48">
        <f>-CAPA!I$89-B47</f>
        <v>-27</v>
      </c>
      <c r="M47" s="48">
        <f t="shared" si="14"/>
        <v>0</v>
      </c>
      <c r="N47" s="160">
        <f t="shared" si="1"/>
        <v>0</v>
      </c>
      <c r="O47" s="48">
        <f>IF(OR(L47&gt;=0,N47&lt;0),NA(),4*N47/(PI()*(CALCULO!$C$8*0.01+(-L47-0.5))^2))</f>
        <v>0</v>
      </c>
      <c r="P47" s="48" cm="1">
        <f t="array" ref="P47">IF(L46&lt;=0,
       tensao(-L46),
  NA())</f>
        <v>0.56583883561885129</v>
      </c>
      <c r="Q47" s="48" t="e">
        <f>IFERROR(
      (IF(ISNUMBER(O47),O47,0)+P47) / (I47*((J47+P47+IF(ISNUMBER(O47),O47,0))/J47)^CAPA!F$80),
NA())</f>
        <v>#N/A</v>
      </c>
      <c r="U47" s="48">
        <f>-CAPA!M$89-B47</f>
        <v>-32</v>
      </c>
      <c r="V47" s="48">
        <f>IF(B47&gt;CALCULO!$C$28,
        IF($H47*(PI()*$T$4/100)&lt;W46, $H47*(PI()*$T$4/100),W46), NA())</f>
        <v>0</v>
      </c>
      <c r="W47" s="160">
        <f t="shared" si="2"/>
        <v>0</v>
      </c>
      <c r="X47" s="48">
        <f t="shared" si="15"/>
        <v>0</v>
      </c>
      <c r="Y47" s="48" cm="1">
        <f t="array" ref="Y47">IF(U46&lt;=0,
       tensaogrupo(-U46,T$4),
  NA())</f>
        <v>0.44912489334623673</v>
      </c>
      <c r="Z47" s="48" t="e">
        <f>IFERROR(
      (IF(ISNUMBER(X47),X47,0)+Y47) / ($I47*(($J47+Y47+IF(ISNUMBER(X47),X47,0))/$J47)^CAPA!F$80),
NA())</f>
        <v>#N/A</v>
      </c>
      <c r="AD47" s="48">
        <f>-CAPA!P$89-$B47</f>
        <v>-36</v>
      </c>
      <c r="AE47" s="48">
        <f>IF($B47&gt;CALCULO!$C$28,
        IF($H47*(PI()*AC$4/100)&lt;AF46, $H47*(PI()*AC$4/100),AF46), NA())</f>
        <v>0</v>
      </c>
      <c r="AF47" s="48">
        <f t="shared" si="4"/>
        <v>56.755636154940177</v>
      </c>
      <c r="AG47" s="48">
        <f t="shared" si="5"/>
        <v>5.4925110573463228E-2</v>
      </c>
      <c r="AH47" s="48" cm="1">
        <f t="array" ref="AH47">IF(AD46&lt;=0,
       tensaogrupo(-AD46,AC$4),
  NA())</f>
        <v>0.36765583457641227</v>
      </c>
      <c r="AI47" s="48" t="e">
        <f>IFERROR(
      (IF(ISNUMBER(AG47),AG47,0)+AH47) / ($I47*((J47+AH47+IF(ISNUMBER(AG47),AG47,0))/J47)^CAPA!F$80),
NA())</f>
        <v>#N/A</v>
      </c>
      <c r="AM47" s="48">
        <f>-CAPA!S$89-$B47</f>
        <v>-36</v>
      </c>
      <c r="AN47" s="48">
        <f>IF($B47&gt;CALCULO!$C$28,
        IF($H47*(PI()*AL$4/100)&lt;AO46, $H47*(PI()*AL$4/100),AO46), NA())</f>
        <v>0</v>
      </c>
      <c r="AO47" s="48">
        <f t="shared" si="6"/>
        <v>0</v>
      </c>
      <c r="AP47" s="48">
        <f t="shared" si="17"/>
        <v>0</v>
      </c>
      <c r="AQ47" s="48">
        <f t="array" ref="AQ47">IF(AM46&lt;=0,
       tensaogrupo(-AM46,AL$4),
  NA())</f>
        <v>0.38745341644859627</v>
      </c>
      <c r="AR47" s="48" t="e">
        <f>IFERROR(
      (IF(ISNUMBER(AP47),AP47,0)+AQ47) / ($I47*((J47+AQ47+IF(ISNUMBER(AP47),AP47,0))/J47)^CAPA!F$80),
NA())</f>
        <v>#N/A</v>
      </c>
      <c r="AV47" s="48">
        <f>-CAPA!V$89-$B47</f>
        <v>-37</v>
      </c>
      <c r="AW47" s="48">
        <f>IF($B47&gt;CALCULO!$C$28,
        IF($H47*(PI()*AU$4/100)&lt;AX46, $H47*(PI()*AU$4/100),AX46), NA())</f>
        <v>0</v>
      </c>
      <c r="AX47" s="48">
        <f t="shared" si="7"/>
        <v>0</v>
      </c>
      <c r="AY47" s="48">
        <f t="shared" si="11"/>
        <v>0</v>
      </c>
      <c r="AZ47" s="48">
        <f t="array" ref="AZ47">IF(AV46&lt;=0,
       tensaogrupo(-AV46,AU$4),
  NA())</f>
        <v>0.36654343289006758</v>
      </c>
      <c r="BA47" s="3" t="e">
        <f>IFERROR(
      (IF(ISNUMBER(AY47),AY47,0)+AZ47) / ($I47*(($J47+AZ47+IF(ISNUMBER(AY47),AY47,0))/$J47)^CAPA!$F$80),
NA())</f>
        <v>#N/A</v>
      </c>
      <c r="BE47" s="48">
        <f>-CAPA!I$15-$B47</f>
        <v>-31</v>
      </c>
      <c r="BF47" s="48">
        <f>IF($B47&gt;CALCULO!$C$28,
        IF($H47*(PI()*BD$4/100)&lt;BG46, $H47*(PI()*BD$4/100),BG46), NA())</f>
        <v>0</v>
      </c>
      <c r="BG47" s="48">
        <f t="shared" si="8"/>
        <v>0</v>
      </c>
      <c r="BH47" s="48">
        <f t="shared" si="13"/>
        <v>0</v>
      </c>
      <c r="BI47" s="48">
        <f t="array" ref="BI47">IF(BE46&lt;=0,
       tensaogrupo(-BE46,BD$4),
  NA())</f>
        <v>0.44912489334623673</v>
      </c>
      <c r="BJ47" s="3" t="e">
        <f>IFERROR(
      (IF(ISNUMBER(BH47),BH47,0)+BI47) / ($I47*(($J47+BI47+IF(ISNUMBER(BH47),BH47,0))/$J47)^CAPA!$F$80),
NA())</f>
        <v>#N/A</v>
      </c>
    </row>
    <row r="48" spans="1:62">
      <c r="A48" s="118" t="str">
        <f xml:space="preserve"> IF(CAPA!F53= ""," ",CAPA!F53)</f>
        <v xml:space="preserve"> </v>
      </c>
      <c r="B48" s="2">
        <v>45</v>
      </c>
      <c r="C48" s="48">
        <f>CAPA!D53</f>
        <v>0</v>
      </c>
      <c r="D48" s="48">
        <f>CAPA!E53</f>
        <v>0</v>
      </c>
      <c r="E48" s="119">
        <f>C48*IFERROR(INDEX(Compatibilidade!$G$6:$G$20,MATCH(A48,Compatibilidade!$C$6:$C$20,0)) * INDEX(Compatibilidade!$H$6:$H$20,MATCH(A48,Compatibilidade!$C$6:$C$20,0)),"0")</f>
        <v>0</v>
      </c>
      <c r="F48" s="119"/>
      <c r="G48" s="3">
        <f>IF(B48&gt;CALCULO!$C$28,CALCULO!$C$15,NA())</f>
        <v>0.81681408993334625</v>
      </c>
      <c r="H48" s="3">
        <f>IF(CAPA!$O$60 = "Aoki-Velloso (1975)",CALCULO!S51,
        IF(CAPA!$O$60 = "Décourt-Quaresma (1978)",CALCULO!AG51*CALCULO!AF51,
              IF(CAPA!$O$60 = "Teixeira (1996)",CALCULO!AT51,
                    IF(CAPA!$O$60 = "Média",CALCULO!AT51,0))))</f>
        <v>0</v>
      </c>
      <c r="I48" s="48" t="e">
        <f>IFERROR(C48*CALCULO!P51*IF(OR(CALCULO!C$5="C-Pré-moldada",CALCULO!C$5="B-Metálica"),6,IF(CALCULO!C$5="F-Hélice Contínua",4,3)),NA())</f>
        <v>#N/A</v>
      </c>
      <c r="J48" s="48">
        <f>J47+IF(-B48&gt;=CALCULO!C$18,D48,D48-CALCULO!C$19)</f>
        <v>93</v>
      </c>
      <c r="K48" s="48"/>
      <c r="L48" s="48">
        <f>-CAPA!I$89-B48</f>
        <v>-28</v>
      </c>
      <c r="M48" s="48">
        <f t="shared" si="14"/>
        <v>0</v>
      </c>
      <c r="N48" s="160">
        <f t="shared" si="1"/>
        <v>0</v>
      </c>
      <c r="O48" s="48">
        <f>IF(OR(L48&gt;=0,N48&lt;0),NA(),4*N48/(PI()*(CALCULO!$C$8*0.01+(-L48-0.5))^2))</f>
        <v>0</v>
      </c>
      <c r="P48" s="48" cm="1">
        <f t="array" ref="P48">IF(L47&lt;=0,
       tensao(-L47),
  NA())</f>
        <v>0.53307799757361818</v>
      </c>
      <c r="Q48" s="48" t="e">
        <f>IFERROR(
      (IF(ISNUMBER(O48),O48,0)+P48) / (I48*((J48+P48+IF(ISNUMBER(O48),O48,0))/J48)^CAPA!F$80),
NA())</f>
        <v>#N/A</v>
      </c>
      <c r="U48" s="48">
        <f>-CAPA!M$89-B48</f>
        <v>-33</v>
      </c>
      <c r="V48" s="48">
        <f>IF(B48&gt;CALCULO!$C$28,
        IF($H48*(PI()*$T$4/100)&lt;W47, $H48*(PI()*$T$4/100),W47), NA())</f>
        <v>0</v>
      </c>
      <c r="W48" s="160">
        <f t="shared" si="2"/>
        <v>0</v>
      </c>
      <c r="X48" s="48">
        <f t="shared" si="15"/>
        <v>0</v>
      </c>
      <c r="Y48" s="48" cm="1">
        <f t="array" ref="Y48">IF(U47&lt;=0,
       tensaogrupo(-U47,T$4),
  NA())</f>
        <v>0.42604603221585358</v>
      </c>
      <c r="Z48" s="48" t="e">
        <f>IFERROR(
      (IF(ISNUMBER(X48),X48,0)+Y48) / ($I48*(($J48+Y48+IF(ISNUMBER(X48),X48,0))/$J48)^CAPA!F$80),
NA())</f>
        <v>#N/A</v>
      </c>
      <c r="AD48" s="48">
        <f>-CAPA!P$89-$B48</f>
        <v>-37</v>
      </c>
      <c r="AE48" s="48">
        <f>IF($B48&gt;CALCULO!$C$28,
        IF($H48*(PI()*AC$4/100)&lt;AF47, $H48*(PI()*AC$4/100),AF47), NA())</f>
        <v>0</v>
      </c>
      <c r="AF48" s="48">
        <f t="shared" si="4"/>
        <v>56.755636154940177</v>
      </c>
      <c r="AG48" s="48">
        <f t="shared" si="5"/>
        <v>5.2017405788503404E-2</v>
      </c>
      <c r="AH48" s="48" cm="1">
        <f t="array" ref="AH48">IF(AD47&lt;=0,
       tensaogrupo(-AD47,AC$4),
  NA())</f>
        <v>0.34950448129271322</v>
      </c>
      <c r="AI48" s="48" t="e">
        <f>IFERROR(
      (IF(ISNUMBER(AG48),AG48,0)+AH48) / ($I48*((J48+AH48+IF(ISNUMBER(AG48),AG48,0))/J48)^CAPA!F$80),
NA())</f>
        <v>#N/A</v>
      </c>
      <c r="AM48" s="48">
        <f>-CAPA!S$89-$B48</f>
        <v>-37</v>
      </c>
      <c r="AN48" s="48">
        <f>IF($B48&gt;CALCULO!$C$28,
        IF($H48*(PI()*AL$4/100)&lt;AO47, $H48*(PI()*AL$4/100),AO47), NA())</f>
        <v>0</v>
      </c>
      <c r="AO48" s="48">
        <f t="shared" si="6"/>
        <v>0</v>
      </c>
      <c r="AP48" s="48">
        <f t="shared" si="17"/>
        <v>0</v>
      </c>
      <c r="AQ48" s="48">
        <f t="array" ref="AQ48">IF(AM47&lt;=0,
       tensaogrupo(-AM47,AL$4),
  NA())</f>
        <v>0.36896551196947103</v>
      </c>
      <c r="AR48" s="48" t="e">
        <f>IFERROR(
      (IF(ISNUMBER(AP48),AP48,0)+AQ48) / ($I48*((J48+AQ48+IF(ISNUMBER(AP48),AP48,0))/J48)^CAPA!F$80),
NA())</f>
        <v>#N/A</v>
      </c>
      <c r="AV48" s="48">
        <f>-CAPA!V$89-$B48</f>
        <v>-38</v>
      </c>
      <c r="AW48" s="48">
        <f>IF($B48&gt;CALCULO!$C$28,
        IF($H48*(PI()*AU$4/100)&lt;AX47, $H48*(PI()*AU$4/100),AX47), NA())</f>
        <v>0</v>
      </c>
      <c r="AX48" s="48">
        <f t="shared" si="7"/>
        <v>0</v>
      </c>
      <c r="AY48" s="48">
        <f t="shared" si="11"/>
        <v>0</v>
      </c>
      <c r="AZ48" s="48">
        <f t="array" ref="AZ48">IF(AV47&lt;=0,
       tensaogrupo(-AV47,AU$4),
  NA())</f>
        <v>0.34953297567927166</v>
      </c>
      <c r="BA48" s="3" t="e">
        <f>IFERROR(
      (IF(ISNUMBER(AY48),AY48,0)+AZ48) / ($I48*(($J48+AZ48+IF(ISNUMBER(AY48),AY48,0))/$J48)^CAPA!$F$80),
NA())</f>
        <v>#N/A</v>
      </c>
      <c r="BE48" s="48">
        <f>-CAPA!I$15-$B48</f>
        <v>-32</v>
      </c>
      <c r="BF48" s="48">
        <f>IF($B48&gt;CALCULO!$C$28,
        IF($H48*(PI()*BD$4/100)&lt;BG47, $H48*(PI()*BD$4/100),BG47), NA())</f>
        <v>0</v>
      </c>
      <c r="BG48" s="48">
        <f t="shared" si="8"/>
        <v>0</v>
      </c>
      <c r="BH48" s="48">
        <f t="shared" si="13"/>
        <v>0</v>
      </c>
      <c r="BI48" s="48">
        <f t="array" ref="BI48">IF(BE47&lt;=0,
       tensaogrupo(-BE47,BD$4),
  NA())</f>
        <v>0.42604603221585358</v>
      </c>
      <c r="BJ48" s="3" t="e">
        <f>IFERROR(
      (IF(ISNUMBER(BH48),BH48,0)+BI48) / ($I48*(($J48+BI48+IF(ISNUMBER(BH48),BH48,0))/$J48)^CAPA!$F$80),
NA())</f>
        <v>#N/A</v>
      </c>
    </row>
    <row r="49" spans="1:62">
      <c r="A49" s="118" t="str">
        <f xml:space="preserve"> IF(CAPA!F54= ""," ",CAPA!F54)</f>
        <v xml:space="preserve"> </v>
      </c>
      <c r="B49" s="2">
        <v>46</v>
      </c>
      <c r="C49" s="48">
        <f>CAPA!D54</f>
        <v>0</v>
      </c>
      <c r="D49" s="48">
        <f>CAPA!E54</f>
        <v>0</v>
      </c>
      <c r="E49" s="119">
        <f>C49*IFERROR(INDEX(Compatibilidade!$G$6:$G$20,MATCH(A49,Compatibilidade!$C$6:$C$20,0)) * INDEX(Compatibilidade!$H$6:$H$20,MATCH(A49,Compatibilidade!$C$6:$C$20,0)),"0")</f>
        <v>0</v>
      </c>
      <c r="F49" s="119"/>
      <c r="G49" s="3">
        <f>IF(B49&gt;CALCULO!$C$28,CALCULO!$C$15,NA())</f>
        <v>0.81681408993334625</v>
      </c>
      <c r="H49" s="3">
        <f>IF(CAPA!$O$60 = "Aoki-Velloso (1975)",CALCULO!S52,
        IF(CAPA!$O$60 = "Décourt-Quaresma (1978)",CALCULO!AG52*CALCULO!AF52,
              IF(CAPA!$O$60 = "Teixeira (1996)",CALCULO!AT52,
                    IF(CAPA!$O$60 = "Média",CALCULO!AT52,0))))</f>
        <v>0</v>
      </c>
      <c r="I49" s="48" t="e">
        <f>IFERROR(C49*CALCULO!P52*IF(OR(CALCULO!C$5="C-Pré-moldada",CALCULO!C$5="B-Metálica"),6,IF(CALCULO!C$5="F-Hélice Contínua",4,3)),NA())</f>
        <v>#N/A</v>
      </c>
      <c r="J49" s="48">
        <f>J48+IF(-B49&gt;=CALCULO!C$18,D49,D49-CALCULO!C$19)</f>
        <v>83</v>
      </c>
      <c r="K49" s="48"/>
      <c r="L49" s="48">
        <f>-CAPA!I$89-B49</f>
        <v>-29</v>
      </c>
      <c r="M49" s="48">
        <f t="shared" si="14"/>
        <v>0</v>
      </c>
      <c r="N49" s="160">
        <f t="shared" si="1"/>
        <v>0</v>
      </c>
      <c r="O49" s="48">
        <f>IF(OR(L49&gt;=0,N49&lt;0),NA(),4*N49/(PI()*(CALCULO!$C$8*0.01+(-L49-0.5))^2))</f>
        <v>0</v>
      </c>
      <c r="P49" s="48" cm="1">
        <f t="array" ref="P49">IF(L48&lt;=0,
       tensao(-L48),
  NA())</f>
        <v>0.50310503150544383</v>
      </c>
      <c r="Q49" s="48" t="e">
        <f>IFERROR(
      (IF(ISNUMBER(O49),O49,0)+P49) / (I49*((J49+P49+IF(ISNUMBER(O49),O49,0))/J49)^CAPA!F$80),
NA())</f>
        <v>#N/A</v>
      </c>
      <c r="U49" s="48">
        <f>-CAPA!M$89-B49</f>
        <v>-34</v>
      </c>
      <c r="V49" s="48">
        <f>IF(B49&gt;CALCULO!$C$28,
        IF($H49*(PI()*$T$4/100)&lt;W48, $H49*(PI()*$T$4/100),W48), NA())</f>
        <v>0</v>
      </c>
      <c r="W49" s="160">
        <f t="shared" si="2"/>
        <v>0</v>
      </c>
      <c r="X49" s="48">
        <f t="shared" si="15"/>
        <v>0</v>
      </c>
      <c r="Y49" s="48" cm="1">
        <f t="array" ref="Y49">IF(U48&lt;=0,
       tensaogrupo(-U48,T$4),
  NA())</f>
        <v>0.40470758994220496</v>
      </c>
      <c r="Z49" s="48" t="e">
        <f>IFERROR(
      (IF(ISNUMBER(X49),X49,0)+Y49) / ($I49*(($J49+Y49+IF(ISNUMBER(X49),X49,0))/$J49)^CAPA!F$80),
NA())</f>
        <v>#N/A</v>
      </c>
      <c r="AD49" s="48">
        <f>-CAPA!P$89-$B49</f>
        <v>-38</v>
      </c>
      <c r="AE49" s="48">
        <f>IF($B49&gt;CALCULO!$C$28,
        IF($H49*(PI()*AC$4/100)&lt;AF48, $H49*(PI()*AC$4/100),AF48), NA())</f>
        <v>0</v>
      </c>
      <c r="AF49" s="48">
        <f t="shared" si="4"/>
        <v>56.755636154940177</v>
      </c>
      <c r="AG49" s="48">
        <f t="shared" si="5"/>
        <v>4.9334632750839512E-2</v>
      </c>
      <c r="AH49" s="48" cm="1">
        <f t="array" ref="AH49">IF(AD48&lt;=0,
       tensaogrupo(-AD48,AC$4),
  NA())</f>
        <v>0.33266834001947609</v>
      </c>
      <c r="AI49" s="48" t="e">
        <f>IFERROR(
      (IF(ISNUMBER(AG49),AG49,0)+AH49) / ($I49*((J49+AH49+IF(ISNUMBER(AG49),AG49,0))/J49)^CAPA!F$80),
NA())</f>
        <v>#N/A</v>
      </c>
      <c r="AM49" s="48">
        <f>-CAPA!S$89-$B49</f>
        <v>-38</v>
      </c>
      <c r="AN49" s="48">
        <f>IF($B49&gt;CALCULO!$C$28,
        IF($H49*(PI()*AL$4/100)&lt;AO48, $H49*(PI()*AL$4/100),AO48), NA())</f>
        <v>0</v>
      </c>
      <c r="AO49" s="48">
        <f t="shared" si="6"/>
        <v>0</v>
      </c>
      <c r="AP49" s="48">
        <f t="shared" si="17"/>
        <v>0</v>
      </c>
      <c r="AQ49" s="48">
        <f t="array" ref="AQ49">IF(AM48&lt;=0,
       tensaogrupo(-AM48,AL$4),
  NA())</f>
        <v>0.35177240878456467</v>
      </c>
      <c r="AR49" s="48" t="e">
        <f>IFERROR(
      (IF(ISNUMBER(AP49),AP49,0)+AQ49) / ($I49*((J49+AQ49+IF(ISNUMBER(AP49),AP49,0))/J49)^CAPA!F$80),
NA())</f>
        <v>#N/A</v>
      </c>
      <c r="AV49" s="48">
        <f>-CAPA!V$89-$B49</f>
        <v>-39</v>
      </c>
      <c r="AW49" s="48">
        <f>IF($B49&gt;CALCULO!$C$28,
        IF($H49*(PI()*AU$4/100)&lt;AX48, $H49*(PI()*AU$4/100),AX48), NA())</f>
        <v>0</v>
      </c>
      <c r="AX49" s="48">
        <f t="shared" si="7"/>
        <v>0</v>
      </c>
      <c r="AY49" s="48">
        <f t="shared" si="11"/>
        <v>0</v>
      </c>
      <c r="AZ49" s="48">
        <f t="array" ref="AZ49">IF(AV48&lt;=0,
       tensaogrupo(-AV48,AU$4),
  NA())</f>
        <v>0.33368118081586973</v>
      </c>
      <c r="BA49" s="3" t="e">
        <f>IFERROR(
      (IF(ISNUMBER(AY49),AY49,0)+AZ49) / ($I49*(($J49+AZ49+IF(ISNUMBER(AY49),AY49,0))/$J49)^CAPA!$F$80),
NA())</f>
        <v>#N/A</v>
      </c>
      <c r="BE49" s="48">
        <f>-CAPA!I$15-$B49</f>
        <v>-33</v>
      </c>
      <c r="BF49" s="48">
        <f>IF($B49&gt;CALCULO!$C$28,
        IF($H49*(PI()*BD$4/100)&lt;BG48, $H49*(PI()*BD$4/100),BG48), NA())</f>
        <v>0</v>
      </c>
      <c r="BG49" s="48">
        <f t="shared" si="8"/>
        <v>0</v>
      </c>
      <c r="BH49" s="48">
        <f t="shared" si="13"/>
        <v>0</v>
      </c>
      <c r="BI49" s="48">
        <f t="array" ref="BI49">IF(BE48&lt;=0,
       tensaogrupo(-BE48,BD$4),
  NA())</f>
        <v>0.40470758994220496</v>
      </c>
      <c r="BJ49" s="3" t="e">
        <f>IFERROR(
      (IF(ISNUMBER(BH49),BH49,0)+BI49) / ($I49*(($J49+BI49+IF(ISNUMBER(BH49),BH49,0))/$J49)^CAPA!$F$80),
NA())</f>
        <v>#N/A</v>
      </c>
    </row>
    <row r="50" spans="1:62">
      <c r="A50" s="118" t="str">
        <f xml:space="preserve"> IF(CAPA!F55= ""," ",CAPA!F55)</f>
        <v xml:space="preserve"> </v>
      </c>
      <c r="B50" s="2">
        <v>47</v>
      </c>
      <c r="C50" s="48">
        <f>CAPA!D55</f>
        <v>0</v>
      </c>
      <c r="D50" s="48">
        <f>CAPA!E55</f>
        <v>0</v>
      </c>
      <c r="E50" s="119">
        <f>C50*IFERROR(INDEX(Compatibilidade!$G$6:$G$20,MATCH(A50,Compatibilidade!$C$6:$C$20,0)) * INDEX(Compatibilidade!$H$6:$H$20,MATCH(A50,Compatibilidade!$C$6:$C$20,0)),"0")</f>
        <v>0</v>
      </c>
      <c r="F50" s="119"/>
      <c r="G50" s="3">
        <f>IF(B50&gt;CALCULO!$C$28,CALCULO!$C$15,NA())</f>
        <v>0.81681408993334625</v>
      </c>
      <c r="H50" s="3">
        <f>IF(CAPA!$O$60 = "Aoki-Velloso (1975)",CALCULO!S53,
        IF(CAPA!$O$60 = "Décourt-Quaresma (1978)",CALCULO!AG53*CALCULO!AF53,
              IF(CAPA!$O$60 = "Teixeira (1996)",CALCULO!AT53,
                    IF(CAPA!$O$60 = "Média",CALCULO!AT53,0))))</f>
        <v>0</v>
      </c>
      <c r="I50" s="48" t="e">
        <f>IFERROR(C50*CALCULO!P53*IF(OR(CALCULO!C$5="C-Pré-moldada",CALCULO!C$5="B-Metálica"),6,IF(CALCULO!C$5="F-Hélice Contínua",4,3)),NA())</f>
        <v>#N/A</v>
      </c>
      <c r="J50" s="48">
        <f>J49+IF(-B50&gt;=CALCULO!C$18,D50,D50-CALCULO!C$19)</f>
        <v>73</v>
      </c>
      <c r="K50" s="48"/>
      <c r="L50" s="48">
        <f>-CAPA!I$89-B50</f>
        <v>-30</v>
      </c>
      <c r="M50" s="48">
        <f t="shared" si="14"/>
        <v>0</v>
      </c>
      <c r="N50" s="160">
        <f t="shared" si="1"/>
        <v>0</v>
      </c>
      <c r="O50" s="48">
        <f>IF(OR(L50&gt;=0,N50&lt;0),NA(),4*N50/(PI()*(CALCULO!$C$8*0.01+(-L50-0.5))^2))</f>
        <v>0</v>
      </c>
      <c r="P50" s="48" cm="1">
        <f t="array" ref="P50">IF(L49&lt;=0,
       tensao(-L49),
  NA())</f>
        <v>0.47561011774048723</v>
      </c>
      <c r="Q50" s="48" t="e">
        <f>IFERROR(
      (IF(ISNUMBER(O50),O50,0)+P50) / (I50*((J50+P50+IF(ISNUMBER(O50),O50,0))/J50)^CAPA!F$80),
NA())</f>
        <v>#N/A</v>
      </c>
      <c r="U50" s="48">
        <f>-CAPA!M$89-B50</f>
        <v>-35</v>
      </c>
      <c r="V50" s="48">
        <f>IF(B50&gt;CALCULO!$C$28,
        IF($H50*(PI()*$T$4/100)&lt;W49, $H50*(PI()*$T$4/100),W49), NA())</f>
        <v>0</v>
      </c>
      <c r="W50" s="160">
        <f t="shared" si="2"/>
        <v>0</v>
      </c>
      <c r="X50" s="48">
        <f t="shared" si="15"/>
        <v>0</v>
      </c>
      <c r="Y50" s="48" cm="1">
        <f t="array" ref="Y50">IF(U49&lt;=0,
       tensaogrupo(-U49,T$4),
  NA())</f>
        <v>0.38493831822408109</v>
      </c>
      <c r="Z50" s="48" t="e">
        <f>IFERROR(
      (IF(ISNUMBER(X50),X50,0)+Y50) / ($I50*(($J50+Y50+IF(ISNUMBER(X50),X50,0))/$J50)^CAPA!F$80),
NA())</f>
        <v>#N/A</v>
      </c>
      <c r="AD50" s="48">
        <f>-CAPA!P$89-$B50</f>
        <v>-39</v>
      </c>
      <c r="AE50" s="48">
        <f>IF($B50&gt;CALCULO!$C$28,
        IF($H50*(PI()*AC$4/100)&lt;AF49, $H50*(PI()*AC$4/100),AF49), NA())</f>
        <v>0</v>
      </c>
      <c r="AF50" s="48">
        <f t="shared" si="4"/>
        <v>56.755636154940177</v>
      </c>
      <c r="AG50" s="48">
        <f t="shared" si="5"/>
        <v>4.6854175738543467E-2</v>
      </c>
      <c r="AH50" s="48" cm="1">
        <f t="array" ref="AH50">IF(AD49&lt;=0,
       tensaogrupo(-AD49,AC$4),
  NA())</f>
        <v>0.31702304737863141</v>
      </c>
      <c r="AI50" s="48" t="e">
        <f>IFERROR(
      (IF(ISNUMBER(AG50),AG50,0)+AH50) / ($I50*((J50+AH50+IF(ISNUMBER(AG50),AG50,0))/J50)^CAPA!F$80),
NA())</f>
        <v>#N/A</v>
      </c>
      <c r="AM50" s="48">
        <f>-CAPA!S$89-$B50</f>
        <v>-39</v>
      </c>
      <c r="AN50" s="48">
        <f>IF($B50&gt;CALCULO!$C$28,
        IF($H50*(PI()*AL$4/100)&lt;AO49, $H50*(PI()*AL$4/100),AO49), NA())</f>
        <v>0</v>
      </c>
      <c r="AO50" s="48">
        <f t="shared" si="6"/>
        <v>0</v>
      </c>
      <c r="AP50" s="48">
        <f t="shared" si="17"/>
        <v>0</v>
      </c>
      <c r="AQ50" s="48">
        <f t="array" ref="AQ50">IF(AM49&lt;=0,
       tensaogrupo(-AM49,AL$4),
  NA())</f>
        <v>0.33575575199087049</v>
      </c>
      <c r="AR50" s="48" t="e">
        <f>IFERROR(
      (IF(ISNUMBER(AP50),AP50,0)+AQ50) / ($I50*((J50+AQ50+IF(ISNUMBER(AP50),AP50,0))/J50)^CAPA!F$80),
NA())</f>
        <v>#N/A</v>
      </c>
      <c r="AV50" s="48">
        <f>-CAPA!V$89-$B50</f>
        <v>-40</v>
      </c>
      <c r="AW50" s="48">
        <f>IF($B50&gt;CALCULO!$C$28,
        IF($H50*(PI()*AU$4/100)&lt;AX49, $H50*(PI()*AU$4/100),AX49), NA())</f>
        <v>0</v>
      </c>
      <c r="AX50" s="48">
        <f t="shared" si="7"/>
        <v>0</v>
      </c>
      <c r="AY50" s="48">
        <f t="shared" si="11"/>
        <v>0</v>
      </c>
      <c r="AZ50" s="48">
        <f t="array" ref="AZ50">IF(AV49&lt;=0,
       tensaogrupo(-AV49,AU$4),
  NA())</f>
        <v>0.31888503696260206</v>
      </c>
      <c r="BA50" s="3" t="e">
        <f>IFERROR(
      (IF(ISNUMBER(AY50),AY50,0)+AZ50) / ($I50*(($J50+AZ50+IF(ISNUMBER(AY50),AY50,0))/$J50)^CAPA!$F$80),
NA())</f>
        <v>#N/A</v>
      </c>
      <c r="BE50" s="48">
        <f>-CAPA!I$15-$B50</f>
        <v>-34</v>
      </c>
      <c r="BF50" s="48">
        <f>IF($B50&gt;CALCULO!$C$28,
        IF($H50*(PI()*BD$4/100)&lt;BG49, $H50*(PI()*BD$4/100),BG49), NA())</f>
        <v>0</v>
      </c>
      <c r="BG50" s="48">
        <f t="shared" si="8"/>
        <v>0</v>
      </c>
      <c r="BH50" s="48">
        <f t="shared" si="13"/>
        <v>0</v>
      </c>
      <c r="BI50" s="48">
        <f t="array" ref="BI50">IF(BE49&lt;=0,
       tensaogrupo(-BE49,BD$4),
  NA())</f>
        <v>0.38493831822408109</v>
      </c>
      <c r="BJ50" s="3" t="e">
        <f>IFERROR(
      (IF(ISNUMBER(BH50),BH50,0)+BI50) / ($I50*(($J50+BI50+IF(ISNUMBER(BH50),BH50,0))/$J50)^CAPA!$F$80),
NA())</f>
        <v>#N/A</v>
      </c>
    </row>
    <row r="51" spans="1:62">
      <c r="A51" s="118" t="str">
        <f xml:space="preserve"> IF(CAPA!F56= ""," ",CAPA!F56)</f>
        <v xml:space="preserve"> </v>
      </c>
      <c r="B51" s="2">
        <v>48</v>
      </c>
      <c r="C51" s="48">
        <f>CAPA!D56</f>
        <v>0</v>
      </c>
      <c r="D51" s="48">
        <f>CAPA!E56</f>
        <v>0</v>
      </c>
      <c r="E51" s="119">
        <f>C51*IFERROR(INDEX(Compatibilidade!$G$6:$G$20,MATCH(A51,Compatibilidade!$C$6:$C$20,0)) * INDEX(Compatibilidade!$H$6:$H$20,MATCH(A51,Compatibilidade!$C$6:$C$20,0)),"0")</f>
        <v>0</v>
      </c>
      <c r="F51" s="119"/>
      <c r="G51" s="3">
        <f>IF(B51&gt;CALCULO!$C$28,CALCULO!$C$15,NA())</f>
        <v>0.81681408993334625</v>
      </c>
      <c r="H51" s="3">
        <f>IF(CAPA!$O$60 = "Aoki-Velloso (1975)",CALCULO!S54,
        IF(CAPA!$O$60 = "Décourt-Quaresma (1978)",CALCULO!AG54*CALCULO!AF54,
              IF(CAPA!$O$60 = "Teixeira (1996)",CALCULO!AT54,
                    IF(CAPA!$O$60 = "Média",CALCULO!AT54,0))))</f>
        <v>0</v>
      </c>
      <c r="I51" s="48" t="e">
        <f>IFERROR(C51*CALCULO!P54*IF(OR(CALCULO!C$5="C-Pré-moldada",CALCULO!C$5="B-Metálica"),6,IF(CALCULO!C$5="F-Hélice Contínua",4,3)),NA())</f>
        <v>#N/A</v>
      </c>
      <c r="J51" s="48">
        <f>J50+IF(-B51&gt;=CALCULO!C$18,D51,D51-CALCULO!C$19)</f>
        <v>63</v>
      </c>
      <c r="K51" s="48"/>
      <c r="L51" s="48">
        <f>-CAPA!I$89-B51</f>
        <v>-31</v>
      </c>
      <c r="M51" s="48">
        <f t="shared" si="14"/>
        <v>0</v>
      </c>
      <c r="N51" s="160">
        <f t="shared" si="1"/>
        <v>0</v>
      </c>
      <c r="O51" s="48">
        <f>IF(OR(L51&gt;=0,N51&lt;0),NA(),4*N51/(PI()*(CALCULO!$C$8*0.01+(-L51-0.5))^2))</f>
        <v>0</v>
      </c>
      <c r="P51" s="48" cm="1">
        <f t="array" ref="P51">IF(L50&lt;=0,
       tensao(-L50),
  NA())</f>
        <v>0.45032557669452589</v>
      </c>
      <c r="Q51" s="48" t="e">
        <f>IFERROR(
      (IF(ISNUMBER(O51),O51,0)+P51) / (I51*((J51+P51+IF(ISNUMBER(O51),O51,0))/J51)^CAPA!F$80),
NA())</f>
        <v>#N/A</v>
      </c>
      <c r="U51" s="48">
        <f>-CAPA!M$89-B51</f>
        <v>-36</v>
      </c>
      <c r="V51" s="48">
        <f>IF(B51&gt;CALCULO!$C$28,
        IF($H51*(PI()*$T$4/100)&lt;W50, $H51*(PI()*$T$4/100),W50), NA())</f>
        <v>0</v>
      </c>
      <c r="W51" s="160">
        <f t="shared" si="2"/>
        <v>0</v>
      </c>
      <c r="X51" s="48">
        <f t="shared" si="15"/>
        <v>0</v>
      </c>
      <c r="Y51" s="48" cm="1">
        <f t="array" ref="Y51">IF(U50&lt;=0,
       tensaogrupo(-U50,T$4),
  NA())</f>
        <v>0.3665875845924132</v>
      </c>
      <c r="Z51" s="48" t="e">
        <f>IFERROR(
      (IF(ISNUMBER(X51),X51,0)+Y51) / ($I51*(($J51+Y51+IF(ISNUMBER(X51),X51,0))/$J51)^CAPA!F$80),
NA())</f>
        <v>#N/A</v>
      </c>
      <c r="AD51" s="48">
        <f>-CAPA!P$89-$B51</f>
        <v>-40</v>
      </c>
      <c r="AE51" s="48">
        <f>IF($B51&gt;CALCULO!$C$28,
        IF($H51*(PI()*AC$4/100)&lt;AF50, $H51*(PI()*AC$4/100),AF50), NA())</f>
        <v>0</v>
      </c>
      <c r="AF51" s="48">
        <f t="shared" si="4"/>
        <v>56.755636154940177</v>
      </c>
      <c r="AG51" s="48">
        <f t="shared" si="5"/>
        <v>4.4556191563662709E-2</v>
      </c>
      <c r="AH51" s="48" cm="1">
        <f t="array" ref="AH51">IF(AD50&lt;=0,
       tensaogrupo(-AD50,AC$4),
  NA())</f>
        <v>0.30245863162615255</v>
      </c>
      <c r="AI51" s="48" t="e">
        <f>IFERROR(
      (IF(ISNUMBER(AG51),AG51,0)+AH51) / ($I51*((J51+AH51+IF(ISNUMBER(AG51),AG51,0))/J51)^CAPA!F$80),
NA())</f>
        <v>#N/A</v>
      </c>
      <c r="AM51" s="48">
        <f>-CAPA!S$89-$B51</f>
        <v>-40</v>
      </c>
      <c r="AN51" s="48">
        <f>IF($B51&gt;CALCULO!$C$28,
        IF($H51*(PI()*AL$4/100)&lt;AO50, $H51*(PI()*AL$4/100),AO50), NA())</f>
        <v>0</v>
      </c>
      <c r="AO51" s="48">
        <f t="shared" si="6"/>
        <v>0</v>
      </c>
      <c r="AP51" s="48">
        <f t="shared" si="17"/>
        <v>0</v>
      </c>
      <c r="AQ51" s="48">
        <f t="array" ref="AQ51">IF(AM50&lt;=0,
       tensaogrupo(-AM50,AL$4),
  NA())</f>
        <v>0.32081042932048293</v>
      </c>
      <c r="AR51" s="48" t="e">
        <f>IFERROR(
      (IF(ISNUMBER(AP51),AP51,0)+AQ51) / ($I51*((J51+AQ51+IF(ISNUMBER(AP51),AP51,0))/J51)^CAPA!F$80),
NA())</f>
        <v>#N/A</v>
      </c>
      <c r="AV51" s="48">
        <f>-CAPA!V$89-$B51</f>
        <v>-41</v>
      </c>
      <c r="AW51" s="48">
        <f>IF($B51&gt;CALCULO!$C$28,
        IF($H51*(PI()*AU$4/100)&lt;AX50, $H51*(PI()*AU$4/100),AX50), NA())</f>
        <v>0</v>
      </c>
      <c r="AX51" s="48">
        <f t="shared" si="7"/>
        <v>0</v>
      </c>
      <c r="AY51" s="48">
        <f t="shared" si="11"/>
        <v>0</v>
      </c>
      <c r="AZ51" s="48">
        <f t="array" ref="AZ51">IF(AV50&lt;=0,
       tensaogrupo(-AV50,AU$4),
  NA())</f>
        <v>0.30505274400558441</v>
      </c>
      <c r="BA51" s="3" t="e">
        <f>IFERROR(
      (IF(ISNUMBER(AY51),AY51,0)+AZ51) / ($I51*(($J51+AZ51+IF(ISNUMBER(AY51),AY51,0))/$J51)^CAPA!$F$80),
NA())</f>
        <v>#N/A</v>
      </c>
      <c r="BE51" s="48">
        <f>-CAPA!I$15-$B51</f>
        <v>-35</v>
      </c>
      <c r="BF51" s="48">
        <f>IF($B51&gt;CALCULO!$C$28,
        IF($H51*(PI()*BD$4/100)&lt;BG50, $H51*(PI()*BD$4/100),BG50), NA())</f>
        <v>0</v>
      </c>
      <c r="BG51" s="48">
        <f t="shared" si="8"/>
        <v>0</v>
      </c>
      <c r="BH51" s="48">
        <f t="shared" si="13"/>
        <v>0</v>
      </c>
      <c r="BI51" s="48">
        <f t="array" ref="BI51">IF(BE50&lt;=0,
       tensaogrupo(-BE50,BD$4),
  NA())</f>
        <v>0.3665875845924132</v>
      </c>
      <c r="BJ51" s="3" t="e">
        <f>IFERROR(
      (IF(ISNUMBER(BH51),BH51,0)+BI51) / ($I51*(($J51+BI51+IF(ISNUMBER(BH51),BH51,0))/$J51)^CAPA!$F$80),
NA())</f>
        <v>#N/A</v>
      </c>
    </row>
    <row r="52" spans="1:62">
      <c r="A52" s="118" t="str">
        <f xml:space="preserve"> IF(CAPA!F57= ""," ",CAPA!F57)</f>
        <v xml:space="preserve"> </v>
      </c>
      <c r="B52" s="2">
        <v>49</v>
      </c>
      <c r="C52" s="48">
        <f>CAPA!D57</f>
        <v>0</v>
      </c>
      <c r="D52" s="48">
        <f>CAPA!E57</f>
        <v>0</v>
      </c>
      <c r="E52" s="119">
        <f>C52*IFERROR(INDEX(Compatibilidade!$G$6:$G$20,MATCH(A52,Compatibilidade!$C$6:$C$20,0)) * INDEX(Compatibilidade!$H$6:$H$20,MATCH(A52,Compatibilidade!$C$6:$C$20,0)),"0")</f>
        <v>0</v>
      </c>
      <c r="F52" s="119"/>
      <c r="G52" s="3">
        <f>IF(B52&gt;CALCULO!$C$28,CALCULO!$C$15,NA())</f>
        <v>0.81681408993334625</v>
      </c>
      <c r="H52" s="3">
        <f>IF(CAPA!$O$60 = "Aoki-Velloso (1975)",CALCULO!S55,
        IF(CAPA!$O$60 = "Décourt-Quaresma (1978)",CALCULO!AG55*CALCULO!AF55,
              IF(CAPA!$O$60 = "Teixeira (1996)",CALCULO!AT55,
                    IF(CAPA!$O$60 = "Média",CALCULO!AT55,0))))</f>
        <v>0</v>
      </c>
      <c r="I52" s="48" t="e">
        <f>IFERROR(C52*CALCULO!P55*IF(OR(CALCULO!C$5="C-Pré-moldada",CALCULO!C$5="B-Metálica"),6,IF(CALCULO!C$5="F-Hélice Contínua",4,3)),NA())</f>
        <v>#N/A</v>
      </c>
      <c r="J52" s="48">
        <f>J51+IF(-B52&gt;=CALCULO!C$18,D52,D52-CALCULO!C$19)</f>
        <v>53</v>
      </c>
      <c r="K52" s="48"/>
      <c r="L52" s="48">
        <f>-CAPA!I$89-B52</f>
        <v>-32</v>
      </c>
      <c r="M52" s="48">
        <f t="shared" si="14"/>
        <v>0</v>
      </c>
      <c r="N52" s="160">
        <f t="shared" si="1"/>
        <v>0</v>
      </c>
      <c r="O52" s="48">
        <f>IF(OR(L52&gt;=0,N52&lt;0),NA(),4*N52/(PI()*(CALCULO!$C$8*0.01+(-L52-0.5))^2))</f>
        <v>0</v>
      </c>
      <c r="P52" s="48" cm="1">
        <f t="array" ref="P52">IF(L51&lt;=0,
       tensao(-L51),
  NA())</f>
        <v>0.42701913589328405</v>
      </c>
      <c r="Q52" s="48" t="e">
        <f>IFERROR(
      (IF(ISNUMBER(O52),O52,0)+P52) / (I52*((J52+P52+IF(ISNUMBER(O52),O52,0))/J52)^CAPA!F$80),
NA())</f>
        <v>#N/A</v>
      </c>
      <c r="U52" s="48">
        <f>-CAPA!M$89-B52</f>
        <v>-37</v>
      </c>
      <c r="V52" s="48">
        <f>IF(B52&gt;CALCULO!$C$28,
        IF($H52*(PI()*$T$4/100)&lt;W51, $H52*(PI()*$T$4/100),W51), NA())</f>
        <v>0</v>
      </c>
      <c r="W52" s="160">
        <f t="shared" si="2"/>
        <v>0</v>
      </c>
      <c r="X52" s="48">
        <f t="shared" si="15"/>
        <v>0</v>
      </c>
      <c r="Y52" s="48" cm="1">
        <f t="array" ref="Y52">IF(U51&lt;=0,
       tensaogrupo(-U51,T$4),
  NA())</f>
        <v>0.34952245665647552</v>
      </c>
      <c r="Z52" s="48" t="e">
        <f>IFERROR(
      (IF(ISNUMBER(X52),X52,0)+Y52) / ($I52*(($J52+Y52+IF(ISNUMBER(X52),X52,0))/$J52)^CAPA!F$80),
NA())</f>
        <v>#N/A</v>
      </c>
      <c r="AD52" s="48">
        <f>-CAPA!P$89-$B52</f>
        <v>-41</v>
      </c>
      <c r="AE52" s="48">
        <f>IF($B52&gt;CALCULO!$C$28,
        IF($H52*(PI()*AC$4/100)&lt;AF51, $H52*(PI()*AC$4/100),AF51), NA())</f>
        <v>0</v>
      </c>
      <c r="AF52" s="48">
        <f t="shared" si="4"/>
        <v>56.755636154940177</v>
      </c>
      <c r="AG52" s="48">
        <f t="shared" si="5"/>
        <v>4.2423211479716956E-2</v>
      </c>
      <c r="AH52" s="48" cm="1">
        <f t="array" ref="AH52">IF(AD51&lt;=0,
       tensaogrupo(-AD51,AC$4),
  NA())</f>
        <v>0.28887755535706883</v>
      </c>
      <c r="AI52" s="48" t="e">
        <f>IFERROR(
      (IF(ISNUMBER(AG52),AG52,0)+AH52) / ($I52*((J52+AH52+IF(ISNUMBER(AG52),AG52,0))/J52)^CAPA!F$80),
NA())</f>
        <v>#N/A</v>
      </c>
      <c r="AM52" s="48">
        <f>-CAPA!S$89-$B52</f>
        <v>-41</v>
      </c>
      <c r="AN52" s="48">
        <f>IF($B52&gt;CALCULO!$C$28,
        IF($H52*(PI()*AL$4/100)&lt;AO51, $H52*(PI()*AL$4/100),AO51), NA())</f>
        <v>0</v>
      </c>
      <c r="AO52" s="48">
        <f t="shared" si="6"/>
        <v>0</v>
      </c>
      <c r="AP52" s="48">
        <f t="shared" si="17"/>
        <v>0</v>
      </c>
      <c r="AQ52" s="48">
        <f t="array" ref="AQ52">IF(AM51&lt;=0,
       tensaogrupo(-AM51,AL$4),
  NA())</f>
        <v>0.3068428293392873</v>
      </c>
      <c r="AR52" s="48" t="e">
        <f>IFERROR(
      (IF(ISNUMBER(AP52),AP52,0)+AQ52) / ($I52*((J52+AQ52+IF(ISNUMBER(AP52),AP52,0))/J52)^CAPA!F$80),
NA())</f>
        <v>#N/A</v>
      </c>
      <c r="AV52" s="48">
        <f>-CAPA!V$89-$B52</f>
        <v>-42</v>
      </c>
      <c r="AW52" s="48">
        <f>IF($B52&gt;CALCULO!$C$28,
        IF($H52*(PI()*AU$4/100)&lt;AX51, $H52*(PI()*AU$4/100),AX51), NA())</f>
        <v>0</v>
      </c>
      <c r="AX52" s="48">
        <f t="shared" si="7"/>
        <v>0</v>
      </c>
      <c r="AY52" s="48">
        <f t="shared" si="11"/>
        <v>0</v>
      </c>
      <c r="AZ52" s="48">
        <f t="array" ref="AZ52">IF(AV51&lt;=0,
       tensaogrupo(-AV51,AU$4),
  NA())</f>
        <v>0.29210227853646337</v>
      </c>
      <c r="BA52" s="3" t="e">
        <f>IFERROR(
      (IF(ISNUMBER(AY52),AY52,0)+AZ52) / ($I52*(($J52+AZ52+IF(ISNUMBER(AY52),AY52,0))/$J52)^CAPA!$F$80),
NA())</f>
        <v>#N/A</v>
      </c>
      <c r="BE52" s="48">
        <f>-CAPA!I$15-$B52</f>
        <v>-36</v>
      </c>
      <c r="BF52" s="48">
        <f>IF($B52&gt;CALCULO!$C$28,
        IF($H52*(PI()*BD$4/100)&lt;BG51, $H52*(PI()*BD$4/100),BG51), NA())</f>
        <v>0</v>
      </c>
      <c r="BG52" s="48">
        <f t="shared" si="8"/>
        <v>0</v>
      </c>
      <c r="BH52" s="48">
        <f t="shared" si="13"/>
        <v>0</v>
      </c>
      <c r="BI52" s="48">
        <f t="array" ref="BI52">IF(BE51&lt;=0,
       tensaogrupo(-BE51,BD$4),
  NA())</f>
        <v>0.34952245665647552</v>
      </c>
      <c r="BJ52" s="3" t="e">
        <f>IFERROR(
      (IF(ISNUMBER(BH52),BH52,0)+BI52) / ($I52*(($J52+BI52+IF(ISNUMBER(BH52),BH52,0))/$J52)^CAPA!$F$80),
NA())</f>
        <v>#N/A</v>
      </c>
    </row>
    <row r="53" spans="1:62">
      <c r="B53" s="2"/>
      <c r="C53" s="48"/>
      <c r="D53" s="48"/>
      <c r="E53" s="48"/>
      <c r="F53" s="48"/>
      <c r="G53" s="3"/>
      <c r="H53" s="3"/>
      <c r="I53" s="48"/>
      <c r="J53" s="48"/>
      <c r="K53" s="48"/>
      <c r="L53" s="48"/>
      <c r="M53" s="48"/>
      <c r="N53" s="48"/>
      <c r="O53" s="48"/>
      <c r="P53" s="48"/>
      <c r="Q53" s="48"/>
    </row>
    <row r="54" spans="1:62">
      <c r="C54" s="48"/>
      <c r="D54" s="48"/>
      <c r="E54" s="48"/>
      <c r="F54" s="48"/>
      <c r="G54" s="48"/>
      <c r="H54" s="48"/>
      <c r="I54" s="48"/>
      <c r="J54" s="48"/>
      <c r="K54" s="48"/>
    </row>
  </sheetData>
  <sheetProtection sheet="1" objects="1" scenarios="1"/>
  <mergeCells count="7">
    <mergeCell ref="A1:E1"/>
    <mergeCell ref="BE1:BJ1"/>
    <mergeCell ref="AV1:BA1"/>
    <mergeCell ref="L1:Q1"/>
    <mergeCell ref="U1:Z1"/>
    <mergeCell ref="AD1:AI1"/>
    <mergeCell ref="AM1:AR1"/>
  </mergeCells>
  <conditionalFormatting sqref="O3:P3 N53:Q53">
    <cfRule type="expression" dxfId="28" priority="86">
      <formula>XES4=$C$28</formula>
    </cfRule>
  </conditionalFormatting>
  <conditionalFormatting sqref="N3">
    <cfRule type="expression" dxfId="27" priority="87">
      <formula>XES4=$C$28</formula>
    </cfRule>
  </conditionalFormatting>
  <conditionalFormatting sqref="L3:M3 L53:M53">
    <cfRule type="expression" dxfId="26" priority="88">
      <formula>XET4=$C$28</formula>
    </cfRule>
  </conditionalFormatting>
  <conditionalFormatting sqref="Q3">
    <cfRule type="expression" dxfId="25" priority="90">
      <formula>XEV4=$C$28</formula>
    </cfRule>
  </conditionalFormatting>
  <conditionalFormatting sqref="AH3">
    <cfRule type="expression" dxfId="24" priority="79">
      <formula>#REF!=$C$28</formula>
    </cfRule>
  </conditionalFormatting>
  <conditionalFormatting sqref="AF3">
    <cfRule type="expression" dxfId="23" priority="77">
      <formula>D4=$C$28</formula>
    </cfRule>
  </conditionalFormatting>
  <conditionalFormatting sqref="AG3">
    <cfRule type="expression" dxfId="22" priority="76">
      <formula>#REF!=$C$28</formula>
    </cfRule>
  </conditionalFormatting>
  <conditionalFormatting sqref="AI3">
    <cfRule type="expression" dxfId="21" priority="74">
      <formula>#REF!=$C$28</formula>
    </cfRule>
  </conditionalFormatting>
  <conditionalFormatting sqref="AD3:AE3">
    <cfRule type="expression" dxfId="20" priority="72">
      <formula>#REF!=$C$28</formula>
    </cfRule>
  </conditionalFormatting>
  <conditionalFormatting sqref="AQ3">
    <cfRule type="expression" dxfId="19" priority="70">
      <formula>O4=$C$28</formula>
    </cfRule>
  </conditionalFormatting>
  <conditionalFormatting sqref="AM3:AN3">
    <cfRule type="expression" dxfId="18" priority="69">
      <formula>N4=$C$28</formula>
    </cfRule>
  </conditionalFormatting>
  <conditionalFormatting sqref="AO3">
    <cfRule type="expression" dxfId="17" priority="68">
      <formula>M4=$C$28</formula>
    </cfRule>
  </conditionalFormatting>
  <conditionalFormatting sqref="AP3">
    <cfRule type="expression" dxfId="16" priority="67">
      <formula>N4=$C$28</formula>
    </cfRule>
  </conditionalFormatting>
  <conditionalFormatting sqref="AR3">
    <cfRule type="expression" dxfId="15" priority="65">
      <formula>O4=$C$28</formula>
    </cfRule>
  </conditionalFormatting>
  <conditionalFormatting sqref="J3">
    <cfRule type="expression" dxfId="14" priority="91">
      <formula>XEW4=$C$28</formula>
    </cfRule>
  </conditionalFormatting>
  <conditionalFormatting sqref="Y3">
    <cfRule type="expression" dxfId="13" priority="115">
      <formula>#REF!=$C$28</formula>
    </cfRule>
  </conditionalFormatting>
  <conditionalFormatting sqref="Z3">
    <cfRule type="expression" dxfId="12" priority="117">
      <formula>#REF!=$C$28</formula>
    </cfRule>
  </conditionalFormatting>
  <conditionalFormatting sqref="U3:V3">
    <cfRule type="expression" dxfId="11" priority="118">
      <formula>#REF!=$C$28</formula>
    </cfRule>
  </conditionalFormatting>
  <conditionalFormatting sqref="X3">
    <cfRule type="expression" dxfId="10" priority="119">
      <formula>#REF!=$C$28</formula>
    </cfRule>
  </conditionalFormatting>
  <conditionalFormatting sqref="AZ3">
    <cfRule type="expression" dxfId="9" priority="31">
      <formula>#REF!=$C$28</formula>
    </cfRule>
  </conditionalFormatting>
  <conditionalFormatting sqref="BA3">
    <cfRule type="expression" dxfId="8" priority="32">
      <formula>#REF!=$C$28</formula>
    </cfRule>
  </conditionalFormatting>
  <conditionalFormatting sqref="AV3:AW3">
    <cfRule type="expression" dxfId="7" priority="33">
      <formula>#REF!=$C$28</formula>
    </cfRule>
  </conditionalFormatting>
  <conditionalFormatting sqref="AY3">
    <cfRule type="expression" dxfId="6" priority="34">
      <formula>#REF!=$C$28</formula>
    </cfRule>
  </conditionalFormatting>
  <conditionalFormatting sqref="AX3">
    <cfRule type="expression" dxfId="5" priority="35">
      <formula>#REF!=$C$28</formula>
    </cfRule>
  </conditionalFormatting>
  <conditionalFormatting sqref="BI3">
    <cfRule type="expression" dxfId="4" priority="13">
      <formula>#REF!=$C$28</formula>
    </cfRule>
  </conditionalFormatting>
  <conditionalFormatting sqref="BJ3">
    <cfRule type="expression" dxfId="3" priority="14">
      <formula>#REF!=$C$28</formula>
    </cfRule>
  </conditionalFormatting>
  <conditionalFormatting sqref="BE3:BF3">
    <cfRule type="expression" dxfId="2" priority="15">
      <formula>#REF!=$C$28</formula>
    </cfRule>
  </conditionalFormatting>
  <conditionalFormatting sqref="BH3">
    <cfRule type="expression" dxfId="1" priority="16">
      <formula>#REF!=$C$28</formula>
    </cfRule>
  </conditionalFormatting>
  <conditionalFormatting sqref="BG3">
    <cfRule type="expression" dxfId="0" priority="17">
      <formula>#REF!=$C$28</formula>
    </cfRule>
  </conditionalFormatting>
  <pageMargins left="0.511811024" right="0.511811024" top="0.78740157499999996" bottom="0.78740157499999996" header="0.31496062000000002" footer="0.31496062000000002"/>
  <pageSetup paperSize="9"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Planilha2"/>
  <dimension ref="B2:BO65"/>
  <sheetViews>
    <sheetView zoomScale="70" zoomScaleNormal="70" workbookViewId="0">
      <selection activeCell="P24" sqref="P24:P37"/>
    </sheetView>
  </sheetViews>
  <sheetFormatPr defaultColWidth="9.140625" defaultRowHeight="15"/>
  <cols>
    <col min="1" max="1" width="9.140625" style="2"/>
    <col min="2" max="2" width="5.7109375" style="2" customWidth="1"/>
    <col min="3" max="3" width="23.7109375" style="2" bestFit="1" customWidth="1"/>
    <col min="4" max="4" width="31" style="2" bestFit="1" customWidth="1"/>
    <col min="5" max="5" width="25.7109375" style="2" bestFit="1" customWidth="1"/>
    <col min="6" max="6" width="27" style="2" bestFit="1" customWidth="1"/>
    <col min="7" max="7" width="8" style="2" customWidth="1"/>
    <col min="8" max="8" width="6.140625" style="2" customWidth="1"/>
    <col min="9" max="9" width="10.28515625" style="2" bestFit="1" customWidth="1"/>
    <col min="10" max="10" width="10.5703125" style="2" bestFit="1" customWidth="1"/>
    <col min="11" max="11" width="10.28515625" style="2" bestFit="1" customWidth="1"/>
    <col min="12" max="12" width="12.140625" style="2" customWidth="1"/>
    <col min="13" max="13" width="12" style="2" customWidth="1"/>
    <col min="14" max="14" width="12.85546875" style="2" customWidth="1"/>
    <col min="15" max="15" width="10.28515625" style="2" bestFit="1" customWidth="1"/>
    <col min="16" max="16" width="14.5703125" style="2" customWidth="1"/>
    <col min="17" max="17" width="10.28515625" style="2" bestFit="1" customWidth="1"/>
    <col min="18" max="18" width="15.28515625" style="2" customWidth="1"/>
    <col min="19" max="19" width="18.28515625" style="2" customWidth="1"/>
    <col min="20" max="20" width="11.5703125" style="2" bestFit="1" customWidth="1"/>
    <col min="21" max="21" width="9.140625" style="2"/>
    <col min="22" max="22" width="17.85546875" style="2" customWidth="1"/>
    <col min="23" max="23" width="6.42578125" style="2" customWidth="1"/>
    <col min="24" max="24" width="15" style="2" customWidth="1"/>
    <col min="25" max="25" width="9" style="2" customWidth="1"/>
    <col min="26" max="26" width="5.42578125" style="2" customWidth="1"/>
    <col min="27" max="27" width="4.140625" style="2" customWidth="1"/>
    <col min="28" max="28" width="10.140625" style="2" customWidth="1"/>
    <col min="29" max="29" width="13.7109375" style="2" bestFit="1" customWidth="1"/>
    <col min="30" max="30" width="22" style="2" customWidth="1"/>
    <col min="31" max="31" width="13.5703125" style="2" customWidth="1"/>
    <col min="32" max="32" width="9.140625" style="2"/>
    <col min="33" max="33" width="28.7109375" style="2" bestFit="1" customWidth="1"/>
    <col min="34" max="34" width="9.42578125" style="2" bestFit="1" customWidth="1"/>
    <col min="35" max="35" width="6.5703125" style="2" bestFit="1" customWidth="1"/>
    <col min="36" max="36" width="9.140625" style="2"/>
    <col min="37" max="37" width="11" style="2" bestFit="1" customWidth="1"/>
    <col min="38" max="39" width="9.140625" style="2"/>
    <col min="40" max="40" width="11" style="2" bestFit="1" customWidth="1"/>
    <col min="41" max="42" width="9.140625" style="2"/>
    <col min="43" max="43" width="25.7109375" style="2" bestFit="1" customWidth="1"/>
    <col min="44" max="44" width="9.28515625" style="2" bestFit="1" customWidth="1"/>
    <col min="45" max="45" width="11.7109375" style="2" bestFit="1" customWidth="1"/>
    <col min="46" max="46" width="15.7109375" style="2" bestFit="1" customWidth="1"/>
    <col min="47" max="47" width="12.28515625" style="2" bestFit="1" customWidth="1"/>
    <col min="48" max="48" width="7.140625" style="2" bestFit="1" customWidth="1"/>
    <col min="49" max="49" width="18.7109375" style="2" bestFit="1" customWidth="1"/>
    <col min="50" max="50" width="9.140625" style="2"/>
    <col min="51" max="51" width="22.140625" style="2" bestFit="1" customWidth="1"/>
    <col min="52" max="52" width="9.140625" style="2"/>
    <col min="53" max="53" width="6.28515625" style="2" bestFit="1" customWidth="1"/>
    <col min="54" max="54" width="8.85546875" style="2" bestFit="1" customWidth="1"/>
    <col min="55" max="55" width="8.7109375" style="2" bestFit="1" customWidth="1"/>
    <col min="56" max="56" width="14" style="2" bestFit="1" customWidth="1"/>
    <col min="57" max="57" width="18.85546875" style="2" bestFit="1" customWidth="1"/>
    <col min="58" max="58" width="6.28515625" style="2" bestFit="1" customWidth="1"/>
    <col min="59" max="59" width="13.5703125" style="2" bestFit="1" customWidth="1"/>
    <col min="60" max="60" width="18.85546875" style="2" bestFit="1" customWidth="1"/>
    <col min="61" max="61" width="13.140625" style="2" bestFit="1" customWidth="1"/>
    <col min="62" max="62" width="18.85546875" style="2" bestFit="1" customWidth="1"/>
    <col min="63" max="63" width="6.7109375" style="2" bestFit="1" customWidth="1"/>
    <col min="64" max="64" width="14.85546875" style="2" bestFit="1" customWidth="1"/>
    <col min="65" max="65" width="19.7109375" style="2" bestFit="1" customWidth="1"/>
    <col min="66" max="66" width="13" style="2" bestFit="1" customWidth="1"/>
    <col min="67" max="67" width="18.7109375" style="2" bestFit="1" customWidth="1"/>
    <col min="68" max="16384" width="9.140625" style="2"/>
  </cols>
  <sheetData>
    <row r="2" spans="2:31" ht="21.75" thickBot="1">
      <c r="B2"/>
      <c r="C2" s="402" t="s">
        <v>363</v>
      </c>
      <c r="D2" s="402"/>
      <c r="E2" s="402"/>
      <c r="F2" s="402"/>
      <c r="K2" s="407" t="s">
        <v>365</v>
      </c>
      <c r="L2" s="407"/>
      <c r="M2" s="407"/>
      <c r="N2" s="407"/>
      <c r="O2" s="407"/>
      <c r="P2" s="407"/>
      <c r="Q2" s="407"/>
      <c r="R2" s="407"/>
      <c r="S2" s="407"/>
      <c r="T2" s="407"/>
      <c r="V2" s="410" t="s">
        <v>233</v>
      </c>
      <c r="W2" s="410"/>
      <c r="X2" s="410"/>
      <c r="Y2" s="410"/>
      <c r="Z2" s="410"/>
      <c r="AA2" s="410"/>
      <c r="AB2" s="410"/>
      <c r="AC2" s="410"/>
      <c r="AD2" s="410"/>
      <c r="AE2" s="410"/>
    </row>
    <row r="3" spans="2:31" s="60" customFormat="1" ht="37.5">
      <c r="C3" s="262" t="s">
        <v>79</v>
      </c>
      <c r="D3" s="262" t="s">
        <v>87</v>
      </c>
      <c r="E3" s="262" t="s">
        <v>87</v>
      </c>
      <c r="F3" s="262" t="s">
        <v>113</v>
      </c>
      <c r="G3" s="261"/>
      <c r="H3" s="261"/>
      <c r="K3" s="264" t="s">
        <v>7</v>
      </c>
      <c r="L3" s="264" t="s">
        <v>8</v>
      </c>
      <c r="M3" s="264" t="s">
        <v>9</v>
      </c>
      <c r="N3" s="264" t="s">
        <v>10</v>
      </c>
      <c r="O3" s="264" t="s">
        <v>11</v>
      </c>
      <c r="P3" s="264" t="s">
        <v>148</v>
      </c>
      <c r="Q3" s="264" t="s">
        <v>12</v>
      </c>
      <c r="R3" s="264" t="s">
        <v>149</v>
      </c>
      <c r="S3" s="264" t="s">
        <v>150</v>
      </c>
      <c r="T3" s="264" t="s">
        <v>151</v>
      </c>
      <c r="V3" s="411" t="s">
        <v>228</v>
      </c>
      <c r="W3" s="412"/>
      <c r="X3" s="408" t="s">
        <v>229</v>
      </c>
      <c r="Y3" s="420" t="s">
        <v>230</v>
      </c>
      <c r="Z3" s="421"/>
      <c r="AA3" s="415" t="s">
        <v>238</v>
      </c>
      <c r="AB3" s="416" t="s">
        <v>231</v>
      </c>
      <c r="AC3" s="417"/>
      <c r="AD3" s="418" t="s">
        <v>239</v>
      </c>
      <c r="AE3" s="408" t="s">
        <v>232</v>
      </c>
    </row>
    <row r="4" spans="2:31" ht="23.25" thickBot="1">
      <c r="C4" s="2">
        <v>1</v>
      </c>
      <c r="D4" s="2">
        <v>2</v>
      </c>
      <c r="E4" s="2">
        <v>3</v>
      </c>
      <c r="F4" s="2">
        <v>4</v>
      </c>
      <c r="G4" s="125" t="s">
        <v>227</v>
      </c>
      <c r="H4" s="120" t="s">
        <v>218</v>
      </c>
      <c r="I4"/>
      <c r="K4" s="266" t="s">
        <v>152</v>
      </c>
      <c r="L4" s="266" t="s">
        <v>152</v>
      </c>
      <c r="M4" s="266" t="s">
        <v>152</v>
      </c>
      <c r="N4" s="266" t="s">
        <v>152</v>
      </c>
      <c r="O4" s="266" t="s">
        <v>152</v>
      </c>
      <c r="P4" s="266" t="s">
        <v>152</v>
      </c>
      <c r="Q4" s="266" t="s">
        <v>152</v>
      </c>
      <c r="R4" s="266" t="s">
        <v>152</v>
      </c>
      <c r="S4" s="266" t="s">
        <v>152</v>
      </c>
      <c r="T4" s="266" t="s">
        <v>152</v>
      </c>
      <c r="V4" s="413"/>
      <c r="W4" s="414"/>
      <c r="X4" s="409"/>
      <c r="Y4" s="422"/>
      <c r="Z4" s="423"/>
      <c r="AA4" s="404"/>
      <c r="AB4" s="129" t="s">
        <v>240</v>
      </c>
      <c r="AC4" s="129" t="s">
        <v>241</v>
      </c>
      <c r="AD4" s="419"/>
      <c r="AE4" s="409"/>
    </row>
    <row r="5" spans="2:31" ht="18.75" customHeight="1">
      <c r="I5"/>
      <c r="K5" s="265">
        <v>30</v>
      </c>
      <c r="L5" s="265">
        <v>20</v>
      </c>
      <c r="M5" s="265">
        <v>26</v>
      </c>
      <c r="N5" s="265">
        <v>20</v>
      </c>
      <c r="O5" s="265">
        <v>10</v>
      </c>
      <c r="P5" s="265">
        <v>25</v>
      </c>
      <c r="Q5" s="265">
        <v>27</v>
      </c>
      <c r="R5" s="265">
        <v>40</v>
      </c>
      <c r="S5" s="265">
        <v>8</v>
      </c>
      <c r="T5" s="265">
        <v>25</v>
      </c>
      <c r="V5" s="403" t="s">
        <v>236</v>
      </c>
      <c r="W5" s="403" t="s">
        <v>235</v>
      </c>
      <c r="X5" s="130" t="s">
        <v>242</v>
      </c>
      <c r="Y5" s="130" t="s">
        <v>243</v>
      </c>
      <c r="Z5" s="132">
        <v>30</v>
      </c>
      <c r="AA5" s="131">
        <v>2.7</v>
      </c>
      <c r="AB5" s="405">
        <v>0.4</v>
      </c>
      <c r="AC5" s="405">
        <v>4</v>
      </c>
      <c r="AD5" s="405">
        <v>6</v>
      </c>
      <c r="AE5" s="424" t="s">
        <v>244</v>
      </c>
    </row>
    <row r="6" spans="2:31" ht="18.75">
      <c r="B6" s="2" t="s">
        <v>20</v>
      </c>
      <c r="C6" s="2" t="s">
        <v>35</v>
      </c>
      <c r="D6" s="2" t="s">
        <v>95</v>
      </c>
      <c r="E6" s="2" t="s">
        <v>101</v>
      </c>
      <c r="F6" s="2" t="s">
        <v>108</v>
      </c>
      <c r="G6" s="2">
        <v>3</v>
      </c>
      <c r="H6" s="2">
        <v>0.9</v>
      </c>
      <c r="I6"/>
      <c r="K6" s="265">
        <v>35</v>
      </c>
      <c r="L6" s="265">
        <v>25</v>
      </c>
      <c r="M6" s="265">
        <v>33</v>
      </c>
      <c r="N6" s="265">
        <v>25</v>
      </c>
      <c r="O6" s="265">
        <v>12</v>
      </c>
      <c r="P6" s="265">
        <v>30</v>
      </c>
      <c r="Q6" s="265">
        <v>32</v>
      </c>
      <c r="R6" s="265">
        <v>50</v>
      </c>
      <c r="S6" s="265">
        <v>10</v>
      </c>
      <c r="T6" s="265">
        <v>32</v>
      </c>
      <c r="V6" s="404"/>
      <c r="W6" s="426"/>
      <c r="X6" s="130" t="s">
        <v>245</v>
      </c>
      <c r="Y6" s="130" t="s">
        <v>246</v>
      </c>
      <c r="Z6" s="132">
        <v>40</v>
      </c>
      <c r="AA6" s="131">
        <v>3.6</v>
      </c>
      <c r="AB6" s="406"/>
      <c r="AC6" s="406"/>
      <c r="AD6" s="406"/>
      <c r="AE6" s="425"/>
    </row>
    <row r="7" spans="2:31" ht="18.75" customHeight="1">
      <c r="B7" s="2" t="s">
        <v>21</v>
      </c>
      <c r="C7" s="2" t="s">
        <v>36</v>
      </c>
      <c r="D7" s="2" t="s">
        <v>95</v>
      </c>
      <c r="E7" s="2" t="s">
        <v>101</v>
      </c>
      <c r="F7" s="2" t="s">
        <v>107</v>
      </c>
      <c r="G7" s="2">
        <v>3</v>
      </c>
      <c r="H7" s="2">
        <v>0.7</v>
      </c>
      <c r="I7"/>
      <c r="K7" s="265">
        <v>40</v>
      </c>
      <c r="L7" s="265">
        <v>30</v>
      </c>
      <c r="M7" s="265">
        <v>38</v>
      </c>
      <c r="N7" s="265">
        <v>30</v>
      </c>
      <c r="O7" s="265">
        <v>15</v>
      </c>
      <c r="P7" s="265">
        <v>35</v>
      </c>
      <c r="Q7" s="265">
        <v>37</v>
      </c>
      <c r="R7" s="265">
        <v>60</v>
      </c>
      <c r="S7" s="265">
        <v>12</v>
      </c>
      <c r="T7" s="265">
        <v>38</v>
      </c>
      <c r="V7" s="427" t="s">
        <v>55</v>
      </c>
      <c r="W7" s="427"/>
      <c r="X7" s="130" t="s">
        <v>242</v>
      </c>
      <c r="Y7" s="130" t="s">
        <v>247</v>
      </c>
      <c r="Z7" s="132">
        <v>25</v>
      </c>
      <c r="AA7" s="131">
        <v>3.1</v>
      </c>
      <c r="AB7" s="405">
        <v>0.4</v>
      </c>
      <c r="AC7" s="405">
        <v>2</v>
      </c>
      <c r="AD7" s="405">
        <v>5</v>
      </c>
      <c r="AE7" s="427" t="s">
        <v>248</v>
      </c>
    </row>
    <row r="8" spans="2:31" ht="18.75">
      <c r="B8" s="2" t="s">
        <v>22</v>
      </c>
      <c r="C8" s="2" t="s">
        <v>37</v>
      </c>
      <c r="D8" s="2" t="s">
        <v>94</v>
      </c>
      <c r="E8" s="2" t="s">
        <v>100</v>
      </c>
      <c r="F8" s="2" t="s">
        <v>107</v>
      </c>
      <c r="G8" s="2">
        <v>3</v>
      </c>
      <c r="H8" s="2">
        <v>0.7</v>
      </c>
      <c r="I8"/>
      <c r="K8" s="265">
        <v>45</v>
      </c>
      <c r="L8" s="265">
        <v>35</v>
      </c>
      <c r="M8" s="265">
        <v>42</v>
      </c>
      <c r="N8" s="265">
        <v>40</v>
      </c>
      <c r="O8" s="265">
        <v>16</v>
      </c>
      <c r="P8" s="265">
        <v>40</v>
      </c>
      <c r="Q8" s="265">
        <v>42</v>
      </c>
      <c r="R8" s="265">
        <v>70</v>
      </c>
      <c r="S8" s="265">
        <v>15</v>
      </c>
      <c r="T8" s="265">
        <v>42</v>
      </c>
      <c r="V8" s="428"/>
      <c r="W8" s="428"/>
      <c r="X8" s="130" t="s">
        <v>245</v>
      </c>
      <c r="Y8" s="130" t="s">
        <v>246</v>
      </c>
      <c r="Z8" s="132">
        <v>40</v>
      </c>
      <c r="AA8" s="131">
        <v>5</v>
      </c>
      <c r="AB8" s="406"/>
      <c r="AC8" s="406"/>
      <c r="AD8" s="406"/>
      <c r="AE8" s="428"/>
    </row>
    <row r="9" spans="2:31" ht="18.75" customHeight="1">
      <c r="B9" s="2" t="s">
        <v>23</v>
      </c>
      <c r="C9" s="2" t="s">
        <v>38</v>
      </c>
      <c r="D9" s="2" t="s">
        <v>94</v>
      </c>
      <c r="E9" s="2" t="s">
        <v>100</v>
      </c>
      <c r="F9" s="2" t="s">
        <v>106</v>
      </c>
      <c r="G9" s="2">
        <v>3</v>
      </c>
      <c r="H9" s="2">
        <v>0.55000000000000004</v>
      </c>
      <c r="I9"/>
      <c r="K9" s="265">
        <v>52</v>
      </c>
      <c r="L9" s="265">
        <v>40</v>
      </c>
      <c r="M9" s="265">
        <v>50</v>
      </c>
      <c r="N9" s="265">
        <v>50</v>
      </c>
      <c r="O9" s="265">
        <v>20</v>
      </c>
      <c r="P9" s="265">
        <v>50</v>
      </c>
      <c r="Q9" s="265">
        <v>47</v>
      </c>
      <c r="R9" s="265">
        <v>80</v>
      </c>
      <c r="S9" s="265">
        <v>18</v>
      </c>
      <c r="T9" s="265">
        <v>45</v>
      </c>
      <c r="V9" s="427" t="s">
        <v>127</v>
      </c>
      <c r="W9" s="427"/>
      <c r="X9" s="130" t="s">
        <v>242</v>
      </c>
      <c r="Y9" s="130" t="s">
        <v>243</v>
      </c>
      <c r="Z9" s="132">
        <v>30</v>
      </c>
      <c r="AA9" s="131">
        <v>2.7</v>
      </c>
      <c r="AB9" s="405">
        <v>0.4</v>
      </c>
      <c r="AC9" s="405">
        <v>4</v>
      </c>
      <c r="AD9" s="405">
        <v>6</v>
      </c>
      <c r="AE9" s="427" t="s">
        <v>249</v>
      </c>
    </row>
    <row r="10" spans="2:31" ht="18.75" customHeight="1">
      <c r="B10" s="2" t="s">
        <v>24</v>
      </c>
      <c r="C10" s="2" t="s">
        <v>39</v>
      </c>
      <c r="D10" s="2" t="s">
        <v>94</v>
      </c>
      <c r="E10" s="2" t="s">
        <v>100</v>
      </c>
      <c r="F10" s="2" t="s">
        <v>106</v>
      </c>
      <c r="G10" s="2">
        <v>3</v>
      </c>
      <c r="H10" s="2">
        <v>0.55000000000000004</v>
      </c>
      <c r="I10"/>
      <c r="K10" s="265">
        <v>60</v>
      </c>
      <c r="L10" s="265"/>
      <c r="M10" s="265">
        <v>60</v>
      </c>
      <c r="N10" s="265">
        <v>60</v>
      </c>
      <c r="O10" s="265">
        <v>25</v>
      </c>
      <c r="P10" s="265">
        <v>60</v>
      </c>
      <c r="Q10" s="265"/>
      <c r="R10" s="265">
        <v>90</v>
      </c>
      <c r="S10" s="265">
        <v>20</v>
      </c>
      <c r="T10" s="265"/>
      <c r="V10" s="428"/>
      <c r="W10" s="428"/>
      <c r="X10" s="130" t="s">
        <v>245</v>
      </c>
      <c r="Y10" s="130" t="s">
        <v>246</v>
      </c>
      <c r="Z10" s="132">
        <v>40</v>
      </c>
      <c r="AA10" s="131">
        <v>3.6</v>
      </c>
      <c r="AB10" s="406"/>
      <c r="AC10" s="406"/>
      <c r="AD10" s="406"/>
      <c r="AE10" s="428"/>
    </row>
    <row r="11" spans="2:31" ht="18.75">
      <c r="B11" s="2" t="s">
        <v>25</v>
      </c>
      <c r="C11" s="2" t="s">
        <v>40</v>
      </c>
      <c r="D11" s="2" t="s">
        <v>94</v>
      </c>
      <c r="E11" s="2" t="s">
        <v>100</v>
      </c>
      <c r="F11" s="2" t="s">
        <v>105</v>
      </c>
      <c r="G11" s="2">
        <v>5</v>
      </c>
      <c r="H11" s="2">
        <v>0.45</v>
      </c>
      <c r="I11"/>
      <c r="K11" s="265">
        <v>70</v>
      </c>
      <c r="L11" s="265"/>
      <c r="M11" s="265"/>
      <c r="N11" s="265">
        <v>70</v>
      </c>
      <c r="O11" s="265">
        <v>31</v>
      </c>
      <c r="P11" s="265">
        <v>70</v>
      </c>
      <c r="Q11" s="265"/>
      <c r="R11" s="265">
        <v>100</v>
      </c>
      <c r="S11" s="265">
        <v>22</v>
      </c>
      <c r="T11" s="265"/>
      <c r="V11" s="134" t="s">
        <v>147</v>
      </c>
      <c r="W11" s="134" t="s">
        <v>237</v>
      </c>
      <c r="X11" s="130" t="s">
        <v>242</v>
      </c>
      <c r="Y11" s="130" t="s">
        <v>250</v>
      </c>
      <c r="Z11" s="132">
        <v>20</v>
      </c>
      <c r="AA11" s="131">
        <v>2.5</v>
      </c>
      <c r="AB11" s="133">
        <v>0.4</v>
      </c>
      <c r="AC11" s="133">
        <v>2</v>
      </c>
      <c r="AD11" s="133">
        <v>5</v>
      </c>
      <c r="AE11" s="132" t="s">
        <v>251</v>
      </c>
    </row>
    <row r="12" spans="2:31" ht="18.75">
      <c r="B12" s="2" t="s">
        <v>26</v>
      </c>
      <c r="C12" s="2" t="s">
        <v>41</v>
      </c>
      <c r="D12" s="2" t="s">
        <v>94</v>
      </c>
      <c r="E12" s="2" t="s">
        <v>100</v>
      </c>
      <c r="F12" s="2" t="s">
        <v>105</v>
      </c>
      <c r="G12" s="2">
        <v>5</v>
      </c>
      <c r="H12" s="2">
        <v>0.45</v>
      </c>
      <c r="I12"/>
      <c r="K12" s="265"/>
      <c r="L12" s="265"/>
      <c r="M12" s="265"/>
      <c r="N12" s="265">
        <v>80</v>
      </c>
      <c r="O12" s="265">
        <v>41</v>
      </c>
      <c r="P12" s="265">
        <v>80</v>
      </c>
      <c r="Q12" s="265"/>
      <c r="R12" s="265">
        <v>110</v>
      </c>
      <c r="S12" s="265">
        <v>25</v>
      </c>
      <c r="T12" s="265"/>
      <c r="V12" s="134" t="s">
        <v>52</v>
      </c>
      <c r="W12" s="134" t="s">
        <v>237</v>
      </c>
      <c r="X12" s="130" t="s">
        <v>252</v>
      </c>
      <c r="Y12" s="130" t="s">
        <v>250</v>
      </c>
      <c r="Z12" s="132">
        <v>20</v>
      </c>
      <c r="AA12" s="131">
        <v>1.8</v>
      </c>
      <c r="AB12" s="133">
        <v>0.4</v>
      </c>
      <c r="AC12" s="132" t="s">
        <v>253</v>
      </c>
      <c r="AD12" s="132" t="s">
        <v>254</v>
      </c>
      <c r="AE12" s="132" t="s">
        <v>255</v>
      </c>
    </row>
    <row r="13" spans="2:31" ht="18.75" customHeight="1">
      <c r="B13" s="2" t="s">
        <v>27</v>
      </c>
      <c r="C13" s="2" t="s">
        <v>42</v>
      </c>
      <c r="D13" s="2" t="s">
        <v>94</v>
      </c>
      <c r="E13" s="2" t="s">
        <v>100</v>
      </c>
      <c r="F13" s="2" t="s">
        <v>92</v>
      </c>
      <c r="G13" s="2">
        <v>5</v>
      </c>
      <c r="H13" s="2">
        <v>0.25</v>
      </c>
      <c r="I13"/>
      <c r="K13" s="265"/>
      <c r="L13" s="265"/>
      <c r="M13" s="265"/>
      <c r="N13" s="265">
        <v>90</v>
      </c>
      <c r="O13" s="265">
        <v>45</v>
      </c>
      <c r="P13" s="265">
        <v>90</v>
      </c>
      <c r="Q13" s="265"/>
      <c r="R13" s="265">
        <v>120</v>
      </c>
      <c r="S13" s="265">
        <v>28</v>
      </c>
      <c r="T13" s="265"/>
      <c r="V13" s="438" t="s">
        <v>256</v>
      </c>
      <c r="W13" s="438"/>
      <c r="X13" s="130" t="s">
        <v>242</v>
      </c>
      <c r="Y13" s="130" t="s">
        <v>247</v>
      </c>
      <c r="Z13" s="132">
        <v>25</v>
      </c>
      <c r="AA13" s="131">
        <v>2.2000000000000002</v>
      </c>
      <c r="AB13" s="405">
        <v>0.4</v>
      </c>
      <c r="AC13" s="405">
        <v>3</v>
      </c>
      <c r="AD13" s="405">
        <v>5</v>
      </c>
      <c r="AE13" s="427" t="s">
        <v>257</v>
      </c>
    </row>
    <row r="14" spans="2:31" ht="18.75">
      <c r="B14" s="2" t="s">
        <v>28</v>
      </c>
      <c r="C14" s="2" t="s">
        <v>43</v>
      </c>
      <c r="D14" s="2" t="s">
        <v>92</v>
      </c>
      <c r="E14" s="2" t="s">
        <v>100</v>
      </c>
      <c r="F14" s="2" t="s">
        <v>92</v>
      </c>
      <c r="G14" s="2">
        <v>5</v>
      </c>
      <c r="H14" s="2">
        <v>0.25</v>
      </c>
      <c r="I14"/>
      <c r="K14" s="265"/>
      <c r="L14" s="265"/>
      <c r="M14" s="265"/>
      <c r="N14" s="265">
        <v>100</v>
      </c>
      <c r="O14" s="265">
        <v>50</v>
      </c>
      <c r="P14" s="265">
        <v>100</v>
      </c>
      <c r="Q14" s="265"/>
      <c r="R14" s="265">
        <v>130</v>
      </c>
      <c r="S14" s="265">
        <v>30</v>
      </c>
      <c r="T14" s="265"/>
      <c r="V14" s="404"/>
      <c r="W14" s="404"/>
      <c r="X14" s="130" t="s">
        <v>245</v>
      </c>
      <c r="Y14" s="130" t="s">
        <v>246</v>
      </c>
      <c r="Z14" s="132">
        <v>40</v>
      </c>
      <c r="AA14" s="131">
        <v>3.6</v>
      </c>
      <c r="AB14" s="406"/>
      <c r="AC14" s="406"/>
      <c r="AD14" s="406"/>
      <c r="AE14" s="428"/>
    </row>
    <row r="15" spans="2:31" ht="18.75">
      <c r="B15" s="2" t="s">
        <v>29</v>
      </c>
      <c r="C15" s="2" t="s">
        <v>44</v>
      </c>
      <c r="D15" s="2" t="s">
        <v>92</v>
      </c>
      <c r="E15" s="2" t="s">
        <v>100</v>
      </c>
      <c r="F15" s="2" t="s">
        <v>92</v>
      </c>
      <c r="G15" s="2">
        <v>5</v>
      </c>
      <c r="H15" s="2">
        <v>0.25</v>
      </c>
      <c r="I15"/>
      <c r="K15" s="265"/>
      <c r="L15" s="265"/>
      <c r="M15" s="265"/>
      <c r="N15" s="265">
        <v>110</v>
      </c>
      <c r="O15" s="265"/>
      <c r="P15" s="265"/>
      <c r="Q15" s="265"/>
      <c r="R15" s="265">
        <v>140</v>
      </c>
      <c r="S15" s="265">
        <v>32</v>
      </c>
      <c r="T15" s="265"/>
      <c r="V15" s="135" t="s">
        <v>56</v>
      </c>
      <c r="W15" s="134" t="s">
        <v>261</v>
      </c>
      <c r="X15" s="130" t="s">
        <v>252</v>
      </c>
      <c r="Y15" s="130" t="s">
        <v>250</v>
      </c>
      <c r="Z15" s="132">
        <v>20</v>
      </c>
      <c r="AA15" s="131">
        <v>1.6</v>
      </c>
      <c r="AB15" s="133">
        <v>0.4</v>
      </c>
      <c r="AC15" s="132" t="s">
        <v>253</v>
      </c>
      <c r="AD15" s="132" t="s">
        <v>254</v>
      </c>
      <c r="AE15" s="132" t="s">
        <v>258</v>
      </c>
    </row>
    <row r="16" spans="2:31" ht="18.75">
      <c r="B16" s="2" t="s">
        <v>30</v>
      </c>
      <c r="C16" s="2" t="s">
        <v>45</v>
      </c>
      <c r="D16" s="2" t="s">
        <v>93</v>
      </c>
      <c r="E16" s="2" t="s">
        <v>99</v>
      </c>
      <c r="F16" s="2" t="s">
        <v>103</v>
      </c>
      <c r="G16" s="2">
        <v>7</v>
      </c>
      <c r="H16" s="2">
        <v>0.2</v>
      </c>
      <c r="I16"/>
      <c r="K16" s="265"/>
      <c r="L16" s="265"/>
      <c r="M16" s="265"/>
      <c r="N16" s="265">
        <v>120</v>
      </c>
      <c r="O16" s="265"/>
      <c r="P16" s="265"/>
      <c r="Q16" s="265"/>
      <c r="R16" s="265">
        <v>150</v>
      </c>
      <c r="S16" s="265">
        <v>35</v>
      </c>
      <c r="T16" s="265"/>
      <c r="V16" s="134" t="s">
        <v>265</v>
      </c>
      <c r="W16" s="134" t="s">
        <v>262</v>
      </c>
      <c r="X16" s="130" t="s">
        <v>252</v>
      </c>
      <c r="Y16" s="130" t="s">
        <v>250</v>
      </c>
      <c r="Z16" s="132">
        <v>20</v>
      </c>
      <c r="AA16" s="131">
        <v>1.8</v>
      </c>
      <c r="AB16" s="133">
        <v>0.4</v>
      </c>
      <c r="AC16" s="132" t="s">
        <v>253</v>
      </c>
      <c r="AD16" s="132" t="s">
        <v>254</v>
      </c>
      <c r="AE16" s="132" t="s">
        <v>259</v>
      </c>
    </row>
    <row r="17" spans="2:31" ht="22.5">
      <c r="B17" s="2" t="s">
        <v>31</v>
      </c>
      <c r="C17" s="2" t="s">
        <v>46</v>
      </c>
      <c r="D17" s="2" t="s">
        <v>93</v>
      </c>
      <c r="E17" s="2" t="s">
        <v>100</v>
      </c>
      <c r="F17" s="2" t="s">
        <v>104</v>
      </c>
      <c r="G17" s="2">
        <v>7</v>
      </c>
      <c r="H17" s="2">
        <v>0.3</v>
      </c>
      <c r="I17"/>
      <c r="K17" s="265"/>
      <c r="L17" s="265"/>
      <c r="M17" s="265"/>
      <c r="N17" s="265">
        <v>130</v>
      </c>
      <c r="O17" s="265"/>
      <c r="P17" s="265"/>
      <c r="Q17" s="265"/>
      <c r="R17" s="265">
        <v>160</v>
      </c>
      <c r="S17" s="265">
        <v>38</v>
      </c>
      <c r="T17" s="265"/>
      <c r="V17" s="134" t="s">
        <v>264</v>
      </c>
      <c r="W17" s="134" t="s">
        <v>263</v>
      </c>
      <c r="X17" s="132" t="s">
        <v>252</v>
      </c>
      <c r="Y17" s="132" t="s">
        <v>250</v>
      </c>
      <c r="Z17" s="132">
        <v>20</v>
      </c>
      <c r="AA17" s="133">
        <v>1.8</v>
      </c>
      <c r="AB17" s="133">
        <v>0.4</v>
      </c>
      <c r="AC17" s="132" t="s">
        <v>253</v>
      </c>
      <c r="AD17" s="132" t="s">
        <v>254</v>
      </c>
      <c r="AE17" s="132" t="s">
        <v>260</v>
      </c>
    </row>
    <row r="18" spans="2:31" ht="19.5" customHeight="1" thickBot="1">
      <c r="B18" s="2" t="s">
        <v>16</v>
      </c>
      <c r="C18" s="2" t="s">
        <v>47</v>
      </c>
      <c r="D18" s="2" t="s">
        <v>93</v>
      </c>
      <c r="E18" s="2" t="s">
        <v>100</v>
      </c>
      <c r="F18" s="2" t="s">
        <v>104</v>
      </c>
      <c r="G18" s="2">
        <v>7</v>
      </c>
      <c r="H18" s="2">
        <v>0.3</v>
      </c>
      <c r="K18" s="266"/>
      <c r="L18" s="266"/>
      <c r="M18" s="266"/>
      <c r="N18" s="266">
        <v>140</v>
      </c>
      <c r="O18" s="266"/>
      <c r="P18" s="266"/>
      <c r="Q18" s="266"/>
      <c r="R18" s="266">
        <v>170</v>
      </c>
      <c r="S18" s="266">
        <v>40</v>
      </c>
      <c r="T18" s="266"/>
      <c r="V18" s="436" t="s">
        <v>234</v>
      </c>
      <c r="W18" s="436"/>
      <c r="X18" s="436"/>
      <c r="Y18" s="436"/>
      <c r="Z18" s="436"/>
      <c r="AA18" s="436"/>
      <c r="AB18" s="436"/>
      <c r="AC18" s="436"/>
      <c r="AD18" s="436"/>
      <c r="AE18" s="436"/>
    </row>
    <row r="19" spans="2:31">
      <c r="B19" s="2" t="s">
        <v>32</v>
      </c>
      <c r="C19" s="2" t="s">
        <v>48</v>
      </c>
      <c r="D19" s="2" t="s">
        <v>93</v>
      </c>
      <c r="E19" s="2" t="s">
        <v>99</v>
      </c>
      <c r="F19" s="2" t="s">
        <v>92</v>
      </c>
      <c r="G19" s="2">
        <v>7</v>
      </c>
      <c r="H19" s="2">
        <v>0.25</v>
      </c>
      <c r="V19" s="437"/>
      <c r="W19" s="437"/>
      <c r="X19" s="437"/>
      <c r="Y19" s="437"/>
      <c r="Z19" s="437"/>
      <c r="AA19" s="437"/>
      <c r="AB19" s="437"/>
      <c r="AC19" s="437"/>
      <c r="AD19" s="437"/>
      <c r="AE19" s="437"/>
    </row>
    <row r="20" spans="2:31" ht="15.75" thickBot="1">
      <c r="B20" s="2" t="s">
        <v>33</v>
      </c>
      <c r="C20" s="175" t="s">
        <v>49</v>
      </c>
      <c r="D20" s="175" t="s">
        <v>93</v>
      </c>
      <c r="E20" s="175" t="s">
        <v>100</v>
      </c>
      <c r="F20" s="175" t="s">
        <v>92</v>
      </c>
      <c r="G20" s="2">
        <v>7</v>
      </c>
      <c r="H20" s="2">
        <v>0.25</v>
      </c>
      <c r="V20" s="437"/>
      <c r="W20" s="437"/>
      <c r="X20" s="437"/>
      <c r="Y20" s="437"/>
      <c r="Z20" s="437"/>
      <c r="AA20" s="437"/>
      <c r="AB20" s="437"/>
      <c r="AC20" s="437"/>
      <c r="AD20" s="437"/>
      <c r="AE20" s="437"/>
    </row>
    <row r="21" spans="2:31" ht="15.75" thickBot="1">
      <c r="K21" s="397" t="s">
        <v>308</v>
      </c>
      <c r="L21" s="397"/>
      <c r="M21" s="397"/>
      <c r="N21" s="397"/>
      <c r="O21" s="397"/>
      <c r="P21" s="397"/>
      <c r="Q21" s="397"/>
      <c r="R21" s="397"/>
      <c r="S21" s="397"/>
      <c r="T21" s="397"/>
      <c r="V21" s="437"/>
      <c r="W21" s="437"/>
      <c r="X21" s="437"/>
      <c r="Y21" s="437"/>
      <c r="Z21" s="437"/>
      <c r="AA21" s="437"/>
      <c r="AB21" s="437"/>
      <c r="AC21" s="437"/>
      <c r="AD21" s="437"/>
      <c r="AE21" s="437"/>
    </row>
    <row r="22" spans="2:31">
      <c r="I22" s="439" t="s">
        <v>52</v>
      </c>
      <c r="J22" s="440"/>
      <c r="K22" s="441" t="s">
        <v>53</v>
      </c>
      <c r="L22" s="440"/>
      <c r="M22" s="442" t="s">
        <v>54</v>
      </c>
      <c r="N22" s="440"/>
      <c r="O22" s="442" t="s">
        <v>55</v>
      </c>
      <c r="P22" s="440"/>
      <c r="Q22" s="442" t="s">
        <v>57</v>
      </c>
      <c r="R22" s="440"/>
      <c r="S22" s="441" t="s">
        <v>127</v>
      </c>
      <c r="T22" s="443"/>
      <c r="V22" s="437"/>
      <c r="W22" s="437"/>
      <c r="X22" s="437"/>
      <c r="Y22" s="437"/>
      <c r="Z22" s="437"/>
      <c r="AA22" s="437"/>
      <c r="AB22" s="437"/>
      <c r="AC22" s="437"/>
      <c r="AD22" s="437"/>
      <c r="AE22" s="437"/>
    </row>
    <row r="23" spans="2:31" ht="15.75" thickBot="1">
      <c r="C23" s="2" t="str">
        <f>C3</f>
        <v>Aoki-Velloso</v>
      </c>
      <c r="D23" s="2" t="str">
        <f>D3</f>
        <v>Décourt</v>
      </c>
      <c r="E23" s="2" t="str">
        <f>F3</f>
        <v>Teixeira</v>
      </c>
      <c r="F23" s="2" t="s">
        <v>126</v>
      </c>
      <c r="I23" s="164" t="s">
        <v>193</v>
      </c>
      <c r="J23" s="166" t="s">
        <v>307</v>
      </c>
      <c r="K23" s="175" t="s">
        <v>193</v>
      </c>
      <c r="L23" s="166" t="s">
        <v>307</v>
      </c>
      <c r="M23" s="170" t="s">
        <v>193</v>
      </c>
      <c r="N23" s="166" t="s">
        <v>307</v>
      </c>
      <c r="O23" s="170" t="s">
        <v>193</v>
      </c>
      <c r="P23" s="166" t="s">
        <v>307</v>
      </c>
      <c r="Q23" s="170" t="s">
        <v>193</v>
      </c>
      <c r="R23" s="166" t="s">
        <v>307</v>
      </c>
      <c r="S23" s="175" t="s">
        <v>193</v>
      </c>
      <c r="T23" s="165" t="s">
        <v>307</v>
      </c>
      <c r="V23" s="437"/>
      <c r="W23" s="437"/>
      <c r="X23" s="437"/>
      <c r="Y23" s="437"/>
      <c r="Z23" s="437"/>
      <c r="AA23" s="437"/>
      <c r="AB23" s="437"/>
      <c r="AC23" s="437"/>
      <c r="AD23" s="437"/>
      <c r="AE23" s="437"/>
    </row>
    <row r="24" spans="2:31">
      <c r="B24" s="2" t="s">
        <v>20</v>
      </c>
      <c r="C24" s="2" t="s">
        <v>52</v>
      </c>
      <c r="D24" s="2" t="s">
        <v>134</v>
      </c>
      <c r="E24" s="2" t="s">
        <v>123</v>
      </c>
      <c r="F24" s="2" t="s">
        <v>52</v>
      </c>
      <c r="G24" s="2">
        <v>1</v>
      </c>
      <c r="I24" s="161">
        <v>30</v>
      </c>
      <c r="J24" s="180">
        <v>45</v>
      </c>
      <c r="K24" s="2">
        <v>20</v>
      </c>
      <c r="L24" s="167">
        <v>80</v>
      </c>
      <c r="M24" s="171">
        <v>26</v>
      </c>
      <c r="N24" s="167">
        <v>80</v>
      </c>
      <c r="O24" s="171">
        <v>20</v>
      </c>
      <c r="P24" s="167">
        <v>20</v>
      </c>
      <c r="Q24" s="171">
        <v>25</v>
      </c>
      <c r="R24" s="167">
        <v>40</v>
      </c>
      <c r="S24" s="2">
        <v>40</v>
      </c>
      <c r="T24" s="178">
        <v>200</v>
      </c>
      <c r="V24" s="437"/>
      <c r="W24" s="437"/>
      <c r="X24" s="437"/>
      <c r="Y24" s="437"/>
      <c r="Z24" s="437"/>
      <c r="AA24" s="437"/>
      <c r="AB24" s="437"/>
      <c r="AC24" s="437"/>
      <c r="AD24" s="437"/>
      <c r="AE24" s="437"/>
    </row>
    <row r="25" spans="2:31">
      <c r="B25" s="2" t="s">
        <v>21</v>
      </c>
      <c r="C25" s="2" t="s">
        <v>53</v>
      </c>
      <c r="D25" s="2" t="s">
        <v>135</v>
      </c>
      <c r="E25" s="2" t="s">
        <v>122</v>
      </c>
      <c r="F25" s="2" t="s">
        <v>53</v>
      </c>
      <c r="G25" s="2">
        <v>2</v>
      </c>
      <c r="I25" s="161">
        <v>35</v>
      </c>
      <c r="J25" s="180">
        <v>45</v>
      </c>
      <c r="K25" s="2">
        <v>25</v>
      </c>
      <c r="L25" s="167">
        <v>80</v>
      </c>
      <c r="M25" s="171">
        <v>33</v>
      </c>
      <c r="N25" s="167">
        <v>80</v>
      </c>
      <c r="O25" s="171">
        <v>25</v>
      </c>
      <c r="P25" s="167">
        <v>20</v>
      </c>
      <c r="Q25" s="171">
        <v>30</v>
      </c>
      <c r="R25" s="167">
        <v>45</v>
      </c>
      <c r="S25" s="2">
        <v>50</v>
      </c>
      <c r="T25" s="178">
        <v>250</v>
      </c>
      <c r="V25" s="437"/>
      <c r="W25" s="437"/>
      <c r="X25" s="437"/>
      <c r="Y25" s="437"/>
      <c r="Z25" s="437"/>
      <c r="AA25" s="437"/>
      <c r="AB25" s="437"/>
      <c r="AC25" s="437"/>
      <c r="AD25" s="437"/>
      <c r="AE25" s="437"/>
    </row>
    <row r="26" spans="2:31">
      <c r="B26" s="2" t="s">
        <v>22</v>
      </c>
      <c r="C26" s="2" t="s">
        <v>54</v>
      </c>
      <c r="D26" s="2" t="s">
        <v>133</v>
      </c>
      <c r="E26" s="2" t="s">
        <v>121</v>
      </c>
      <c r="F26" s="2" t="s">
        <v>54</v>
      </c>
      <c r="G26" s="2">
        <v>3</v>
      </c>
      <c r="I26" s="161">
        <v>40</v>
      </c>
      <c r="J26" s="180">
        <v>60</v>
      </c>
      <c r="K26" s="2">
        <v>30</v>
      </c>
      <c r="L26" s="167">
        <v>80</v>
      </c>
      <c r="M26" s="171">
        <v>38</v>
      </c>
      <c r="N26" s="167">
        <v>100</v>
      </c>
      <c r="O26" s="171">
        <v>30</v>
      </c>
      <c r="P26" s="167">
        <v>20</v>
      </c>
      <c r="Q26" s="171">
        <v>35</v>
      </c>
      <c r="R26" s="167">
        <v>45</v>
      </c>
      <c r="S26" s="2">
        <v>60</v>
      </c>
      <c r="T26" s="162">
        <v>300</v>
      </c>
      <c r="V26" s="437"/>
      <c r="W26" s="437"/>
      <c r="X26" s="437"/>
      <c r="Y26" s="437"/>
      <c r="Z26" s="437"/>
      <c r="AA26" s="437"/>
      <c r="AB26" s="437"/>
      <c r="AC26" s="437"/>
      <c r="AD26" s="437"/>
      <c r="AE26" s="437"/>
    </row>
    <row r="27" spans="2:31">
      <c r="B27" s="2" t="s">
        <v>23</v>
      </c>
      <c r="C27" s="2" t="s">
        <v>55</v>
      </c>
      <c r="D27" s="2" t="s">
        <v>117</v>
      </c>
      <c r="E27" s="2" t="s">
        <v>124</v>
      </c>
      <c r="F27" s="2" t="s">
        <v>55</v>
      </c>
      <c r="G27" s="2">
        <v>4</v>
      </c>
      <c r="I27" s="161">
        <v>45</v>
      </c>
      <c r="J27" s="180">
        <v>70</v>
      </c>
      <c r="K27" s="2">
        <v>35</v>
      </c>
      <c r="L27" s="167">
        <v>120</v>
      </c>
      <c r="M27" s="171">
        <v>42</v>
      </c>
      <c r="N27" s="167">
        <v>100</v>
      </c>
      <c r="O27" s="171">
        <v>40</v>
      </c>
      <c r="P27" s="167">
        <v>25</v>
      </c>
      <c r="Q27" s="171">
        <v>40</v>
      </c>
      <c r="R27" s="167">
        <v>60</v>
      </c>
      <c r="S27" s="2">
        <v>70</v>
      </c>
      <c r="T27" s="162">
        <v>350</v>
      </c>
      <c r="V27" s="437"/>
      <c r="W27" s="437"/>
      <c r="X27" s="437"/>
      <c r="Y27" s="437"/>
      <c r="Z27" s="437"/>
      <c r="AA27" s="437"/>
      <c r="AB27" s="437"/>
      <c r="AC27" s="437"/>
      <c r="AD27" s="437"/>
      <c r="AE27" s="437"/>
    </row>
    <row r="28" spans="2:31">
      <c r="B28" s="2" t="s">
        <v>24</v>
      </c>
      <c r="C28" s="2" t="s">
        <v>56</v>
      </c>
      <c r="D28" s="2" t="s">
        <v>120</v>
      </c>
      <c r="E28" s="2" t="s">
        <v>56</v>
      </c>
      <c r="F28" s="2" t="s">
        <v>56</v>
      </c>
      <c r="G28" s="2">
        <v>5</v>
      </c>
      <c r="I28" s="161">
        <v>52</v>
      </c>
      <c r="J28" s="180">
        <v>75</v>
      </c>
      <c r="K28" s="2">
        <v>40</v>
      </c>
      <c r="L28" s="167">
        <v>120</v>
      </c>
      <c r="M28" s="171">
        <v>50</v>
      </c>
      <c r="N28" s="167">
        <v>150</v>
      </c>
      <c r="O28" s="171">
        <v>50</v>
      </c>
      <c r="P28" s="167">
        <v>30</v>
      </c>
      <c r="Q28" s="171">
        <v>50</v>
      </c>
      <c r="R28" s="167">
        <v>75</v>
      </c>
      <c r="S28" s="2">
        <v>80</v>
      </c>
      <c r="T28" s="162">
        <v>400</v>
      </c>
      <c r="V28" s="437"/>
      <c r="W28" s="437"/>
      <c r="X28" s="437"/>
      <c r="Y28" s="437"/>
      <c r="Z28" s="437"/>
      <c r="AA28" s="437"/>
      <c r="AB28" s="437"/>
      <c r="AC28" s="437"/>
      <c r="AD28" s="437"/>
      <c r="AE28" s="437"/>
    </row>
    <row r="29" spans="2:31">
      <c r="B29" s="2" t="s">
        <v>25</v>
      </c>
      <c r="C29" s="2" t="s">
        <v>57</v>
      </c>
      <c r="D29" s="2" t="s">
        <v>119</v>
      </c>
      <c r="E29" s="2">
        <v>0</v>
      </c>
      <c r="F29" s="2" t="s">
        <v>57</v>
      </c>
      <c r="G29" s="2">
        <v>6</v>
      </c>
      <c r="I29" s="161">
        <v>60</v>
      </c>
      <c r="J29" s="180">
        <v>90</v>
      </c>
      <c r="L29" s="168"/>
      <c r="M29" s="171">
        <v>60</v>
      </c>
      <c r="N29" s="167">
        <v>150</v>
      </c>
      <c r="O29" s="171">
        <v>60</v>
      </c>
      <c r="P29" s="167">
        <v>40</v>
      </c>
      <c r="Q29" s="171">
        <v>60</v>
      </c>
      <c r="R29" s="167">
        <v>90</v>
      </c>
      <c r="S29" s="2">
        <v>90</v>
      </c>
      <c r="T29" s="162">
        <v>430</v>
      </c>
      <c r="V29" s="437"/>
      <c r="W29" s="437"/>
      <c r="X29" s="437"/>
      <c r="Y29" s="437"/>
      <c r="Z29" s="437"/>
      <c r="AA29" s="437"/>
      <c r="AB29" s="437"/>
      <c r="AC29" s="437"/>
      <c r="AD29" s="437"/>
      <c r="AE29" s="437"/>
    </row>
    <row r="30" spans="2:31">
      <c r="B30" s="2" t="s">
        <v>26</v>
      </c>
      <c r="C30" s="2" t="s">
        <v>58</v>
      </c>
      <c r="D30" s="2">
        <v>0</v>
      </c>
      <c r="E30" s="2">
        <v>0</v>
      </c>
      <c r="F30" s="2" t="s">
        <v>58</v>
      </c>
      <c r="G30" s="2">
        <v>7</v>
      </c>
      <c r="I30" s="161">
        <v>70</v>
      </c>
      <c r="J30" s="180">
        <v>110</v>
      </c>
      <c r="L30" s="168"/>
      <c r="M30" s="171"/>
      <c r="N30" s="168"/>
      <c r="O30" s="171">
        <v>70</v>
      </c>
      <c r="P30" s="167">
        <v>40</v>
      </c>
      <c r="Q30" s="171">
        <v>70</v>
      </c>
      <c r="R30" s="167">
        <v>110</v>
      </c>
      <c r="S30" s="2">
        <v>100</v>
      </c>
      <c r="T30" s="162">
        <v>460</v>
      </c>
      <c r="V30" s="437"/>
      <c r="W30" s="437"/>
      <c r="X30" s="437"/>
      <c r="Y30" s="437"/>
      <c r="Z30" s="437"/>
      <c r="AA30" s="437"/>
      <c r="AB30" s="437"/>
      <c r="AC30" s="437"/>
      <c r="AD30" s="437"/>
      <c r="AE30" s="437"/>
    </row>
    <row r="31" spans="2:31">
      <c r="B31" s="2" t="s">
        <v>28</v>
      </c>
      <c r="C31" s="2" t="s">
        <v>55</v>
      </c>
      <c r="D31" s="2" t="s">
        <v>118</v>
      </c>
      <c r="E31" s="2">
        <v>0</v>
      </c>
      <c r="F31" s="2" t="s">
        <v>127</v>
      </c>
      <c r="G31" s="2">
        <v>8</v>
      </c>
      <c r="I31" s="161"/>
      <c r="J31" s="168"/>
      <c r="L31" s="168"/>
      <c r="M31" s="171"/>
      <c r="N31" s="168"/>
      <c r="O31" s="171">
        <v>80</v>
      </c>
      <c r="P31" s="167">
        <v>60</v>
      </c>
      <c r="Q31" s="171">
        <v>80</v>
      </c>
      <c r="R31" s="167">
        <v>130</v>
      </c>
      <c r="S31" s="2">
        <v>110</v>
      </c>
      <c r="T31" s="162">
        <v>480</v>
      </c>
      <c r="V31" s="128"/>
      <c r="W31" s="128"/>
      <c r="X31" s="128"/>
      <c r="Y31" s="128"/>
      <c r="Z31" s="128"/>
      <c r="AA31" s="128"/>
      <c r="AB31" s="128"/>
      <c r="AC31" s="128"/>
      <c r="AD31" s="128"/>
      <c r="AE31" s="128"/>
    </row>
    <row r="32" spans="2:31">
      <c r="B32" s="2" t="s">
        <v>30</v>
      </c>
      <c r="C32" s="2">
        <v>0</v>
      </c>
      <c r="D32" s="2" t="s">
        <v>125</v>
      </c>
      <c r="E32" s="2">
        <v>0</v>
      </c>
      <c r="F32" s="2" t="s">
        <v>128</v>
      </c>
      <c r="G32" s="2">
        <v>9</v>
      </c>
      <c r="I32" s="161"/>
      <c r="J32" s="168"/>
      <c r="L32" s="168"/>
      <c r="M32" s="171"/>
      <c r="N32" s="168"/>
      <c r="O32" s="171">
        <v>90</v>
      </c>
      <c r="P32" s="167">
        <v>80</v>
      </c>
      <c r="Q32" s="171">
        <v>90</v>
      </c>
      <c r="R32" s="167">
        <v>140</v>
      </c>
      <c r="S32" s="2">
        <v>120</v>
      </c>
      <c r="T32" s="162">
        <v>500</v>
      </c>
      <c r="V32" s="128"/>
      <c r="W32" s="128"/>
      <c r="X32" s="128"/>
      <c r="Y32" s="128"/>
      <c r="Z32" s="128"/>
      <c r="AA32" s="128"/>
      <c r="AB32" s="128"/>
      <c r="AC32" s="128"/>
      <c r="AD32" s="128"/>
      <c r="AE32" s="128"/>
    </row>
    <row r="33" spans="2:39">
      <c r="B33" s="2" t="s">
        <v>31</v>
      </c>
      <c r="C33" s="2">
        <v>0</v>
      </c>
      <c r="D33" s="2">
        <v>0</v>
      </c>
      <c r="E33" s="2">
        <v>0</v>
      </c>
      <c r="F33" s="2" t="s">
        <v>147</v>
      </c>
      <c r="G33" s="2">
        <v>10</v>
      </c>
      <c r="I33" s="161"/>
      <c r="J33" s="168"/>
      <c r="L33" s="168"/>
      <c r="M33" s="171"/>
      <c r="N33" s="168"/>
      <c r="O33" s="171">
        <v>100</v>
      </c>
      <c r="P33" s="167">
        <v>120</v>
      </c>
      <c r="Q33" s="171">
        <v>100</v>
      </c>
      <c r="R33" s="167">
        <v>150</v>
      </c>
      <c r="S33" s="2">
        <v>130</v>
      </c>
      <c r="T33" s="162">
        <v>530</v>
      </c>
    </row>
    <row r="34" spans="2:39">
      <c r="I34" s="161"/>
      <c r="J34" s="168"/>
      <c r="L34" s="168"/>
      <c r="M34" s="171"/>
      <c r="N34" s="168"/>
      <c r="O34" s="171">
        <v>110</v>
      </c>
      <c r="P34" s="167">
        <v>130</v>
      </c>
      <c r="Q34" s="171"/>
      <c r="R34" s="168"/>
      <c r="S34" s="2">
        <v>140</v>
      </c>
      <c r="T34" s="162">
        <v>560</v>
      </c>
    </row>
    <row r="35" spans="2:39">
      <c r="I35" s="161"/>
      <c r="J35" s="168"/>
      <c r="L35" s="168"/>
      <c r="M35" s="171"/>
      <c r="N35" s="168"/>
      <c r="O35" s="171">
        <v>120</v>
      </c>
      <c r="P35" s="167">
        <v>150</v>
      </c>
      <c r="Q35" s="171"/>
      <c r="R35" s="168"/>
      <c r="S35" s="2">
        <v>150</v>
      </c>
      <c r="T35" s="162">
        <v>600</v>
      </c>
      <c r="AL35" s="3"/>
      <c r="AM35" s="14"/>
    </row>
    <row r="36" spans="2:39">
      <c r="I36" s="161"/>
      <c r="J36" s="168"/>
      <c r="L36" s="168"/>
      <c r="M36" s="171"/>
      <c r="N36" s="168"/>
      <c r="O36" s="171">
        <v>130</v>
      </c>
      <c r="P36" s="167">
        <v>150</v>
      </c>
      <c r="Q36" s="171"/>
      <c r="R36" s="168"/>
      <c r="S36" s="2">
        <v>160</v>
      </c>
      <c r="T36" s="162">
        <v>630</v>
      </c>
      <c r="AL36" s="3"/>
      <c r="AM36" s="14"/>
    </row>
    <row r="37" spans="2:39" ht="15.75" thickBot="1">
      <c r="I37" s="164"/>
      <c r="J37" s="166"/>
      <c r="K37" s="179"/>
      <c r="L37" s="169"/>
      <c r="M37" s="172"/>
      <c r="N37" s="169"/>
      <c r="O37" s="170">
        <v>140</v>
      </c>
      <c r="P37" s="173">
        <v>160</v>
      </c>
      <c r="Q37" s="172"/>
      <c r="R37" s="169"/>
      <c r="S37" s="175">
        <v>170</v>
      </c>
      <c r="T37" s="163">
        <v>680</v>
      </c>
      <c r="AL37" s="3"/>
      <c r="AM37" s="14"/>
    </row>
    <row r="38" spans="2:39">
      <c r="AL38" s="3"/>
      <c r="AM38" s="1"/>
    </row>
    <row r="39" spans="2:39">
      <c r="L39" s="181"/>
      <c r="N39" s="181"/>
      <c r="P39" s="181"/>
      <c r="R39" s="181"/>
    </row>
    <row r="40" spans="2:39">
      <c r="L40" s="181"/>
      <c r="N40" s="181"/>
      <c r="P40" s="181"/>
      <c r="R40" s="181"/>
    </row>
    <row r="41" spans="2:39">
      <c r="L41" s="181"/>
      <c r="N41" s="181"/>
      <c r="P41" s="181"/>
      <c r="R41" s="181"/>
      <c r="T41" s="181"/>
    </row>
    <row r="42" spans="2:39">
      <c r="L42" s="181"/>
      <c r="N42" s="181"/>
      <c r="P42" s="181"/>
      <c r="R42" s="181"/>
      <c r="T42" s="181"/>
    </row>
    <row r="43" spans="2:39">
      <c r="L43" s="181"/>
      <c r="N43" s="181"/>
      <c r="P43" s="181"/>
      <c r="R43" s="181"/>
      <c r="T43" s="181"/>
    </row>
    <row r="44" spans="2:39">
      <c r="L44" s="181"/>
      <c r="N44" s="181"/>
      <c r="P44" s="181"/>
      <c r="R44" s="181"/>
      <c r="T44" s="181"/>
    </row>
    <row r="45" spans="2:39">
      <c r="N45" s="181"/>
      <c r="P45" s="181"/>
      <c r="R45" s="181"/>
      <c r="T45" s="181"/>
    </row>
    <row r="46" spans="2:39">
      <c r="P46" s="181"/>
      <c r="R46" s="181"/>
      <c r="T46" s="181"/>
    </row>
    <row r="49" spans="33:67">
      <c r="AY49" s="220"/>
      <c r="AZ49" s="433" t="s">
        <v>79</v>
      </c>
      <c r="BA49" s="434"/>
      <c r="BB49" s="239" t="s">
        <v>347</v>
      </c>
      <c r="BC49" s="220" t="s">
        <v>113</v>
      </c>
    </row>
    <row r="50" spans="33:67" ht="15.75" thickBot="1">
      <c r="AG50"/>
      <c r="AH50"/>
      <c r="AI50"/>
      <c r="AQ50" s="220"/>
      <c r="AR50" s="435" t="s">
        <v>354</v>
      </c>
      <c r="AS50" s="435"/>
      <c r="AT50" s="435"/>
      <c r="AU50" s="435"/>
      <c r="AV50" s="435"/>
      <c r="AW50" s="435"/>
      <c r="AY50" s="223"/>
      <c r="AZ50" s="223" t="s">
        <v>2</v>
      </c>
      <c r="BA50" s="238" t="s">
        <v>3</v>
      </c>
      <c r="BB50" s="240" t="s">
        <v>22</v>
      </c>
      <c r="BC50" s="241" t="s">
        <v>348</v>
      </c>
      <c r="BD50" s="22"/>
      <c r="BE50" s="22"/>
      <c r="BF50" s="22"/>
      <c r="BG50" s="22"/>
      <c r="BH50" s="22"/>
      <c r="BI50" s="22"/>
      <c r="BJ50" s="22"/>
      <c r="BK50" s="22"/>
      <c r="BL50" s="22"/>
      <c r="BM50" s="22"/>
      <c r="BN50" s="22"/>
      <c r="BO50" s="22"/>
    </row>
    <row r="51" spans="33:67" ht="15.75" thickBot="1">
      <c r="AG51" s="221"/>
      <c r="AH51" s="433" t="s">
        <v>79</v>
      </c>
      <c r="AI51" s="434"/>
      <c r="AJ51" s="432" t="s">
        <v>353</v>
      </c>
      <c r="AK51" s="433"/>
      <c r="AL51" s="433"/>
      <c r="AM51" s="433"/>
      <c r="AN51" s="433"/>
      <c r="AO51" s="433"/>
      <c r="AQ51" s="224"/>
      <c r="AR51" s="223" t="s">
        <v>52</v>
      </c>
      <c r="AS51" s="223" t="s">
        <v>53</v>
      </c>
      <c r="AT51" s="223" t="str">
        <f>"C-Pré-moldada"</f>
        <v>C-Pré-moldada</v>
      </c>
      <c r="AU51" s="223" t="s">
        <v>55</v>
      </c>
      <c r="AV51" s="223" t="s">
        <v>56</v>
      </c>
      <c r="AW51" s="223" t="s">
        <v>57</v>
      </c>
      <c r="AY51" s="221" t="s">
        <v>35</v>
      </c>
      <c r="AZ51" s="230">
        <v>1</v>
      </c>
      <c r="BA51" s="242">
        <v>1.4E-2</v>
      </c>
      <c r="BB51" s="239">
        <v>400</v>
      </c>
      <c r="BC51" s="245">
        <v>400</v>
      </c>
      <c r="BD51" s="3"/>
      <c r="BE51" s="3"/>
      <c r="BF51" s="3"/>
      <c r="BG51" s="3"/>
      <c r="BH51" s="3"/>
      <c r="BI51" s="3"/>
      <c r="BJ51" s="3"/>
      <c r="BK51" s="3"/>
      <c r="BL51" s="3"/>
      <c r="BM51" s="3"/>
      <c r="BN51" s="3"/>
      <c r="BO51" s="3"/>
    </row>
    <row r="52" spans="33:67">
      <c r="AG52" s="220"/>
      <c r="AH52" s="433" t="s">
        <v>349</v>
      </c>
      <c r="AI52" s="434"/>
      <c r="AJ52" s="225" t="s">
        <v>350</v>
      </c>
      <c r="AK52" s="220" t="s">
        <v>351</v>
      </c>
      <c r="AL52" s="226" t="s">
        <v>352</v>
      </c>
      <c r="AM52" s="220" t="s">
        <v>350</v>
      </c>
      <c r="AN52" s="220" t="s">
        <v>351</v>
      </c>
      <c r="AO52" s="220" t="s">
        <v>352</v>
      </c>
      <c r="AQ52" s="222" t="s">
        <v>103</v>
      </c>
      <c r="AR52" s="245">
        <f>CALCULO!CG24</f>
        <v>100</v>
      </c>
      <c r="AS52" s="245">
        <f>CALCULO!CH24</f>
        <v>110</v>
      </c>
      <c r="AT52" s="245">
        <f>CALCULO!CI24</f>
        <v>110</v>
      </c>
      <c r="AU52" s="245">
        <f>CALCULO!CJ24</f>
        <v>100</v>
      </c>
      <c r="AV52" s="245">
        <f>CALCULO!CK24</f>
        <v>100</v>
      </c>
      <c r="AW52" s="245">
        <f>CALCULO!CL24</f>
        <v>100</v>
      </c>
      <c r="AY52" s="221" t="s">
        <v>36</v>
      </c>
      <c r="AZ52" s="230">
        <v>0.8</v>
      </c>
      <c r="BA52" s="242">
        <v>0.02</v>
      </c>
      <c r="BB52" s="239">
        <v>400</v>
      </c>
      <c r="BC52" s="245">
        <v>360</v>
      </c>
      <c r="BD52" s="4"/>
      <c r="BE52" s="4"/>
      <c r="BF52" s="4"/>
      <c r="BG52" s="4"/>
      <c r="BH52" s="4"/>
      <c r="BI52" s="4"/>
      <c r="BJ52" s="4"/>
      <c r="BK52" s="4"/>
      <c r="BL52" s="4"/>
      <c r="BM52" s="4"/>
      <c r="BN52" s="4"/>
      <c r="BO52" s="4"/>
    </row>
    <row r="53" spans="33:67" ht="15.75" thickBot="1">
      <c r="AG53" s="223"/>
      <c r="AH53" s="227" t="s">
        <v>5</v>
      </c>
      <c r="AI53" s="228" t="s">
        <v>6</v>
      </c>
      <c r="AJ53" s="429" t="s">
        <v>17</v>
      </c>
      <c r="AK53" s="430"/>
      <c r="AL53" s="431"/>
      <c r="AM53" s="430" t="s">
        <v>116</v>
      </c>
      <c r="AN53" s="430"/>
      <c r="AO53" s="430"/>
      <c r="AQ53" s="222" t="s">
        <v>92</v>
      </c>
      <c r="AR53" s="245">
        <f>CALCULO!CG25</f>
        <v>120</v>
      </c>
      <c r="AS53" s="245">
        <f>CALCULO!CH25</f>
        <v>160</v>
      </c>
      <c r="AT53" s="245">
        <f>CALCULO!CI25</f>
        <v>160</v>
      </c>
      <c r="AU53" s="245">
        <f>CALCULO!CJ25</f>
        <v>110</v>
      </c>
      <c r="AV53" s="245">
        <f>CALCULO!CK25</f>
        <v>110</v>
      </c>
      <c r="AW53" s="245">
        <f>CALCULO!CL25</f>
        <v>110</v>
      </c>
      <c r="AY53" s="221" t="s">
        <v>37</v>
      </c>
      <c r="AZ53" s="230">
        <v>0.7</v>
      </c>
      <c r="BA53" s="242">
        <v>2.4E-2</v>
      </c>
      <c r="BB53" s="239">
        <v>250</v>
      </c>
      <c r="BC53" s="245">
        <v>360</v>
      </c>
    </row>
    <row r="54" spans="33:67">
      <c r="AG54" s="229" t="s">
        <v>52</v>
      </c>
      <c r="AH54" s="230">
        <v>2.5</v>
      </c>
      <c r="AI54" s="231">
        <f t="shared" ref="AI54:AI63" si="0">AH54*2</f>
        <v>5</v>
      </c>
      <c r="AJ54" s="225">
        <v>1</v>
      </c>
      <c r="AK54" s="220">
        <v>1</v>
      </c>
      <c r="AL54" s="226">
        <v>1</v>
      </c>
      <c r="AM54" s="225">
        <v>1</v>
      </c>
      <c r="AN54" s="220">
        <v>1</v>
      </c>
      <c r="AO54" s="220">
        <v>1</v>
      </c>
      <c r="AQ54" s="222" t="s">
        <v>104</v>
      </c>
      <c r="AR54" s="245">
        <f>CALCULO!CG26</f>
        <v>160</v>
      </c>
      <c r="AS54" s="245">
        <f>CALCULO!CH26</f>
        <v>210</v>
      </c>
      <c r="AT54" s="245">
        <f>CALCULO!CI26</f>
        <v>210</v>
      </c>
      <c r="AU54" s="245">
        <f>CALCULO!CJ26</f>
        <v>130</v>
      </c>
      <c r="AV54" s="245">
        <f>CALCULO!CK26</f>
        <v>140</v>
      </c>
      <c r="AW54" s="245">
        <f>CALCULO!CL26</f>
        <v>130</v>
      </c>
      <c r="AY54" s="221" t="s">
        <v>38</v>
      </c>
      <c r="AZ54" s="230">
        <v>0.6</v>
      </c>
      <c r="BA54" s="242">
        <v>0.03</v>
      </c>
      <c r="BB54" s="239">
        <v>250</v>
      </c>
      <c r="BC54" s="245">
        <v>300</v>
      </c>
      <c r="BD54" s="48"/>
      <c r="BE54" s="48"/>
      <c r="BF54" s="48"/>
      <c r="BG54" s="48"/>
      <c r="BH54" s="48"/>
      <c r="BI54" s="48"/>
      <c r="BJ54" s="48"/>
      <c r="BK54" s="48"/>
      <c r="BL54" s="48"/>
      <c r="BM54" s="48"/>
      <c r="BN54" s="48"/>
      <c r="BO54" s="48"/>
    </row>
    <row r="55" spans="33:67">
      <c r="AG55" s="229" t="s">
        <v>53</v>
      </c>
      <c r="AH55" s="230">
        <v>1.75</v>
      </c>
      <c r="AI55" s="231">
        <f t="shared" si="0"/>
        <v>3.5</v>
      </c>
      <c r="AJ55" s="225">
        <v>1</v>
      </c>
      <c r="AK55" s="220">
        <v>1</v>
      </c>
      <c r="AL55" s="226">
        <v>1</v>
      </c>
      <c r="AM55" s="225">
        <v>1</v>
      </c>
      <c r="AN55" s="220">
        <v>1</v>
      </c>
      <c r="AO55" s="220">
        <v>1</v>
      </c>
      <c r="AQ55" s="222" t="s">
        <v>105</v>
      </c>
      <c r="AR55" s="245">
        <f>CALCULO!CG27</f>
        <v>210</v>
      </c>
      <c r="AS55" s="245">
        <f>CALCULO!CH27</f>
        <v>260</v>
      </c>
      <c r="AT55" s="245">
        <f>CALCULO!CI27</f>
        <v>260</v>
      </c>
      <c r="AU55" s="245">
        <f>CALCULO!CJ27</f>
        <v>160</v>
      </c>
      <c r="AV55" s="245">
        <f>CALCULO!CK27</f>
        <v>160</v>
      </c>
      <c r="AW55" s="245">
        <f>CALCULO!CL27</f>
        <v>160</v>
      </c>
      <c r="AY55" s="221" t="s">
        <v>39</v>
      </c>
      <c r="AZ55" s="230">
        <v>0.5</v>
      </c>
      <c r="BA55" s="242">
        <v>2.8000000000000001E-2</v>
      </c>
      <c r="BB55" s="239">
        <v>250</v>
      </c>
      <c r="BC55" s="245">
        <v>300</v>
      </c>
    </row>
    <row r="56" spans="33:67">
      <c r="AG56" s="229" t="s">
        <v>54</v>
      </c>
      <c r="AH56" s="230">
        <f>ROUND(1+(CALCULO!C8/100)/0.8,2)</f>
        <v>1.33</v>
      </c>
      <c r="AI56" s="231">
        <f t="shared" si="0"/>
        <v>2.66</v>
      </c>
      <c r="AJ56" s="225">
        <v>1</v>
      </c>
      <c r="AK56" s="220">
        <v>1</v>
      </c>
      <c r="AL56" s="226">
        <v>1</v>
      </c>
      <c r="AM56" s="225">
        <v>1</v>
      </c>
      <c r="AN56" s="220">
        <v>1</v>
      </c>
      <c r="AO56" s="220">
        <v>1</v>
      </c>
      <c r="AQ56" s="222" t="str">
        <f>"E-areia argilosa"</f>
        <v>E-areia argilosa</v>
      </c>
      <c r="AR56" s="245">
        <f>CALCULO!CG28</f>
        <v>240</v>
      </c>
      <c r="AS56" s="245">
        <f>CALCULO!CH28</f>
        <v>300</v>
      </c>
      <c r="AT56" s="245">
        <f>CALCULO!CI28</f>
        <v>300</v>
      </c>
      <c r="AU56" s="245">
        <f>CALCULO!CJ28</f>
        <v>200</v>
      </c>
      <c r="AV56" s="245">
        <f>CALCULO!CK28</f>
        <v>190</v>
      </c>
      <c r="AW56" s="245">
        <f>CALCULO!CL28</f>
        <v>200</v>
      </c>
      <c r="AY56" s="221" t="s">
        <v>40</v>
      </c>
      <c r="AZ56" s="230">
        <v>0.4</v>
      </c>
      <c r="BA56" s="242">
        <v>0.03</v>
      </c>
      <c r="BB56" s="239">
        <v>250</v>
      </c>
      <c r="BC56" s="245">
        <v>260</v>
      </c>
    </row>
    <row r="57" spans="33:67">
      <c r="AG57" s="229" t="s">
        <v>55</v>
      </c>
      <c r="AH57" s="230">
        <v>3</v>
      </c>
      <c r="AI57" s="231">
        <f t="shared" si="0"/>
        <v>6</v>
      </c>
      <c r="AJ57" s="225">
        <v>0.85</v>
      </c>
      <c r="AK57" s="220">
        <v>0.6</v>
      </c>
      <c r="AL57" s="226">
        <v>0.5</v>
      </c>
      <c r="AM57" s="220">
        <v>0.8</v>
      </c>
      <c r="AN57" s="220">
        <v>0.65</v>
      </c>
      <c r="AO57" s="220">
        <v>0.5</v>
      </c>
      <c r="AQ57" s="222" t="s">
        <v>107</v>
      </c>
      <c r="AR57" s="245">
        <f>CALCULO!CG29</f>
        <v>300</v>
      </c>
      <c r="AS57" s="245">
        <f>CALCULO!CH29</f>
        <v>360</v>
      </c>
      <c r="AT57" s="245">
        <f>CALCULO!CI29</f>
        <v>360</v>
      </c>
      <c r="AU57" s="245">
        <f>CALCULO!CJ29</f>
        <v>240</v>
      </c>
      <c r="AV57" s="245">
        <f>CALCULO!CK29</f>
        <v>220</v>
      </c>
      <c r="AW57" s="245">
        <f>CALCULO!CL29</f>
        <v>240</v>
      </c>
      <c r="AY57" s="221" t="s">
        <v>41</v>
      </c>
      <c r="AZ57" s="230">
        <v>0.55000000000000004</v>
      </c>
      <c r="BA57" s="242">
        <v>2.1999999999999999E-2</v>
      </c>
      <c r="BB57" s="239">
        <v>250</v>
      </c>
      <c r="BC57" s="245">
        <v>260</v>
      </c>
    </row>
    <row r="58" spans="33:67">
      <c r="AG58" s="229" t="s">
        <v>56</v>
      </c>
      <c r="AH58" s="230">
        <v>2</v>
      </c>
      <c r="AI58" s="231">
        <f t="shared" si="0"/>
        <v>4</v>
      </c>
      <c r="AJ58" s="225">
        <v>0.85</v>
      </c>
      <c r="AK58" s="220">
        <v>0.6</v>
      </c>
      <c r="AL58" s="226">
        <v>0.5</v>
      </c>
      <c r="AM58" s="220">
        <v>1.5</v>
      </c>
      <c r="AN58" s="220">
        <v>1.5</v>
      </c>
      <c r="AO58" s="220">
        <v>1.5</v>
      </c>
      <c r="AQ58" s="222" t="s">
        <v>108</v>
      </c>
      <c r="AR58" s="245">
        <f>CALCULO!CG30</f>
        <v>340</v>
      </c>
      <c r="AS58" s="245">
        <f>CALCULO!CH30</f>
        <v>400</v>
      </c>
      <c r="AT58" s="245">
        <f>CALCULO!CI30</f>
        <v>400</v>
      </c>
      <c r="AU58" s="245">
        <f>CALCULO!CJ30</f>
        <v>270</v>
      </c>
      <c r="AV58" s="245">
        <f>CALCULO!CK30</f>
        <v>260</v>
      </c>
      <c r="AW58" s="245">
        <f>CALCULO!CL30</f>
        <v>270</v>
      </c>
      <c r="AY58" s="221" t="s">
        <v>42</v>
      </c>
      <c r="AZ58" s="230">
        <v>0.45</v>
      </c>
      <c r="BA58" s="242">
        <v>2.8000000000000001E-2</v>
      </c>
      <c r="BB58" s="239">
        <v>250</v>
      </c>
      <c r="BC58" s="245">
        <v>160</v>
      </c>
    </row>
    <row r="59" spans="33:67" ht="15.75" thickBot="1">
      <c r="AG59" s="229" t="s">
        <v>57</v>
      </c>
      <c r="AH59" s="230">
        <v>2</v>
      </c>
      <c r="AI59" s="231">
        <f t="shared" si="0"/>
        <v>4</v>
      </c>
      <c r="AJ59" s="225">
        <v>0.3</v>
      </c>
      <c r="AK59" s="220">
        <v>0.3</v>
      </c>
      <c r="AL59" s="226">
        <v>0.3</v>
      </c>
      <c r="AM59" s="220">
        <v>1</v>
      </c>
      <c r="AN59" s="220">
        <v>1</v>
      </c>
      <c r="AO59" s="220">
        <v>1</v>
      </c>
      <c r="AQ59" s="224" t="s">
        <v>109</v>
      </c>
      <c r="AR59" s="246">
        <f>CALCULO!CG31</f>
        <v>380</v>
      </c>
      <c r="AS59" s="246">
        <f>CALCULO!CH31</f>
        <v>440</v>
      </c>
      <c r="AT59" s="246">
        <f>CALCULO!CI31</f>
        <v>440</v>
      </c>
      <c r="AU59" s="246">
        <f>CALCULO!CJ31</f>
        <v>310</v>
      </c>
      <c r="AV59" s="246">
        <f>CALCULO!CK31</f>
        <v>290</v>
      </c>
      <c r="AW59" s="246">
        <f>CALCULO!CL31</f>
        <v>310</v>
      </c>
      <c r="AY59" s="221" t="s">
        <v>43</v>
      </c>
      <c r="AZ59" s="230">
        <v>0.23</v>
      </c>
      <c r="BA59" s="242">
        <v>3.4000000000000002E-2</v>
      </c>
      <c r="BB59" s="239">
        <v>250</v>
      </c>
      <c r="BC59" s="245">
        <v>160</v>
      </c>
    </row>
    <row r="60" spans="33:67">
      <c r="AG60" s="229" t="s">
        <v>58</v>
      </c>
      <c r="AH60" s="230">
        <v>2</v>
      </c>
      <c r="AI60" s="231">
        <f t="shared" si="0"/>
        <v>4</v>
      </c>
      <c r="AJ60" s="225">
        <v>0.4</v>
      </c>
      <c r="AK60" s="220">
        <v>0.4</v>
      </c>
      <c r="AL60" s="226">
        <v>0.4</v>
      </c>
      <c r="AM60" s="220">
        <v>1</v>
      </c>
      <c r="AN60" s="220">
        <v>1</v>
      </c>
      <c r="AO60" s="220">
        <v>1</v>
      </c>
      <c r="AY60" s="221" t="s">
        <v>44</v>
      </c>
      <c r="AZ60" s="230">
        <v>0.25</v>
      </c>
      <c r="BA60" s="242">
        <v>0.03</v>
      </c>
      <c r="BB60" s="239">
        <v>200</v>
      </c>
      <c r="BC60" s="245">
        <v>160</v>
      </c>
    </row>
    <row r="61" spans="33:67">
      <c r="AG61" s="229" t="s">
        <v>127</v>
      </c>
      <c r="AH61" s="230">
        <v>3</v>
      </c>
      <c r="AI61" s="231">
        <f t="shared" si="0"/>
        <v>6</v>
      </c>
      <c r="AJ61" s="225">
        <v>0.85</v>
      </c>
      <c r="AK61" s="220">
        <v>0.6</v>
      </c>
      <c r="AL61" s="226">
        <v>0.5</v>
      </c>
      <c r="AM61" s="220">
        <v>0.9</v>
      </c>
      <c r="AN61" s="220">
        <v>0.75</v>
      </c>
      <c r="AO61" s="220">
        <v>0.6</v>
      </c>
      <c r="AY61" s="221" t="s">
        <v>45</v>
      </c>
      <c r="AZ61" s="230">
        <v>0.2</v>
      </c>
      <c r="BA61" s="242">
        <v>0.06</v>
      </c>
      <c r="BB61" s="239">
        <v>120</v>
      </c>
      <c r="BC61" s="245">
        <v>110</v>
      </c>
    </row>
    <row r="62" spans="33:67">
      <c r="AG62" s="232" t="s">
        <v>128</v>
      </c>
      <c r="AH62" s="233">
        <f>AH58</f>
        <v>2</v>
      </c>
      <c r="AI62" s="231">
        <f t="shared" si="0"/>
        <v>4</v>
      </c>
      <c r="AJ62" s="225">
        <v>1</v>
      </c>
      <c r="AK62" s="220">
        <v>1</v>
      </c>
      <c r="AL62" s="226">
        <v>1</v>
      </c>
      <c r="AM62" s="220">
        <v>3</v>
      </c>
      <c r="AN62" s="220">
        <v>3</v>
      </c>
      <c r="AO62" s="220">
        <v>3</v>
      </c>
      <c r="AY62" s="221" t="s">
        <v>46</v>
      </c>
      <c r="AZ62" s="230">
        <v>0.35</v>
      </c>
      <c r="BA62" s="242">
        <v>2.4E-2</v>
      </c>
      <c r="BB62" s="239">
        <v>120</v>
      </c>
      <c r="BC62" s="245">
        <v>210</v>
      </c>
    </row>
    <row r="63" spans="33:67" ht="15.75" thickBot="1">
      <c r="AG63" s="234" t="s">
        <v>147</v>
      </c>
      <c r="AH63" s="235">
        <v>3</v>
      </c>
      <c r="AI63" s="236">
        <f t="shared" si="0"/>
        <v>6</v>
      </c>
      <c r="AJ63" s="237">
        <v>0.85</v>
      </c>
      <c r="AK63" s="223">
        <v>0.6</v>
      </c>
      <c r="AL63" s="238">
        <v>0.5</v>
      </c>
      <c r="AM63" s="223">
        <v>0.8</v>
      </c>
      <c r="AN63" s="223">
        <v>0.65</v>
      </c>
      <c r="AO63" s="223">
        <v>0.5</v>
      </c>
      <c r="AY63" s="221" t="s">
        <v>47</v>
      </c>
      <c r="AZ63" s="230">
        <v>0.3</v>
      </c>
      <c r="BA63" s="242">
        <v>2.8000000000000001E-2</v>
      </c>
      <c r="BB63" s="239">
        <v>120</v>
      </c>
      <c r="BC63" s="245">
        <v>210</v>
      </c>
    </row>
    <row r="64" spans="33:67">
      <c r="AY64" s="221" t="s">
        <v>48</v>
      </c>
      <c r="AZ64" s="230">
        <v>0.22</v>
      </c>
      <c r="BA64" s="242">
        <v>0.04</v>
      </c>
      <c r="BB64" s="239">
        <v>120</v>
      </c>
      <c r="BC64" s="245">
        <v>160</v>
      </c>
    </row>
    <row r="65" spans="51:55" ht="15.75" thickBot="1">
      <c r="AY65" s="243" t="s">
        <v>49</v>
      </c>
      <c r="AZ65" s="235">
        <v>0.33</v>
      </c>
      <c r="BA65" s="244">
        <v>0.03</v>
      </c>
      <c r="BB65" s="240">
        <v>120</v>
      </c>
      <c r="BC65" s="246">
        <v>160</v>
      </c>
    </row>
  </sheetData>
  <sheetProtection sheet="1" objects="1" scenarios="1"/>
  <sortState xmlns:xlrd2="http://schemas.microsoft.com/office/spreadsheetml/2017/richdata2" ref="K6:K20">
    <sortCondition ref="K6"/>
  </sortState>
  <mergeCells count="49">
    <mergeCell ref="I22:J22"/>
    <mergeCell ref="K21:T21"/>
    <mergeCell ref="K22:L22"/>
    <mergeCell ref="M22:N22"/>
    <mergeCell ref="O22:P22"/>
    <mergeCell ref="Q22:R22"/>
    <mergeCell ref="S22:T22"/>
    <mergeCell ref="AR50:AW50"/>
    <mergeCell ref="AZ49:BA49"/>
    <mergeCell ref="V9:V10"/>
    <mergeCell ref="AB9:AB10"/>
    <mergeCell ref="AC9:AC10"/>
    <mergeCell ref="AD9:AD10"/>
    <mergeCell ref="W9:W10"/>
    <mergeCell ref="V18:AE30"/>
    <mergeCell ref="W13:W14"/>
    <mergeCell ref="AE13:AE14"/>
    <mergeCell ref="V13:V14"/>
    <mergeCell ref="AB13:AB14"/>
    <mergeCell ref="W7:W8"/>
    <mergeCell ref="V7:V8"/>
    <mergeCell ref="AB7:AB8"/>
    <mergeCell ref="AJ53:AL53"/>
    <mergeCell ref="AJ51:AO51"/>
    <mergeCell ref="AM53:AO53"/>
    <mergeCell ref="AD13:AD14"/>
    <mergeCell ref="AC13:AC14"/>
    <mergeCell ref="AE9:AE10"/>
    <mergeCell ref="AC7:AC8"/>
    <mergeCell ref="AD7:AD8"/>
    <mergeCell ref="AE7:AE8"/>
    <mergeCell ref="AH51:AI51"/>
    <mergeCell ref="AH52:AI52"/>
    <mergeCell ref="C2:F2"/>
    <mergeCell ref="V5:V6"/>
    <mergeCell ref="AB5:AB6"/>
    <mergeCell ref="K2:T2"/>
    <mergeCell ref="X3:X4"/>
    <mergeCell ref="V2:AE2"/>
    <mergeCell ref="V3:W4"/>
    <mergeCell ref="AA3:AA4"/>
    <mergeCell ref="AB3:AC3"/>
    <mergeCell ref="AD3:AD4"/>
    <mergeCell ref="AE3:AE4"/>
    <mergeCell ref="Y3:Z4"/>
    <mergeCell ref="AC5:AC6"/>
    <mergeCell ref="AD5:AD6"/>
    <mergeCell ref="AE5:AE6"/>
    <mergeCell ref="W5:W6"/>
  </mergeCells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Planilha4"/>
  <dimension ref="A1:AU83"/>
  <sheetViews>
    <sheetView zoomScale="60" zoomScaleNormal="60" workbookViewId="0">
      <selection sqref="A1:R1"/>
    </sheetView>
  </sheetViews>
  <sheetFormatPr defaultRowHeight="15"/>
  <cols>
    <col min="1" max="1" width="10.140625" bestFit="1" customWidth="1"/>
    <col min="2" max="2" width="10.5703125" bestFit="1" customWidth="1"/>
    <col min="3" max="3" width="11.7109375" bestFit="1" customWidth="1"/>
    <col min="4" max="4" width="16.42578125" bestFit="1" customWidth="1"/>
    <col min="5" max="5" width="13.140625" bestFit="1" customWidth="1"/>
    <col min="6" max="6" width="10.5703125" bestFit="1" customWidth="1"/>
    <col min="7" max="7" width="18.85546875" bestFit="1" customWidth="1"/>
    <col min="8" max="8" width="11" bestFit="1" customWidth="1"/>
    <col min="9" max="9" width="24.28515625" customWidth="1"/>
    <col min="10" max="10" width="28.7109375" hidden="1" customWidth="1"/>
    <col min="11" max="11" width="10.5703125" bestFit="1" customWidth="1"/>
    <col min="12" max="12" width="10.7109375" bestFit="1" customWidth="1"/>
    <col min="14" max="14" width="11.5703125" customWidth="1"/>
    <col min="15" max="15" width="11" customWidth="1"/>
    <col min="16" max="16" width="12.5703125" bestFit="1" customWidth="1"/>
    <col min="17" max="17" width="9.28515625" customWidth="1"/>
    <col min="18" max="18" width="11" customWidth="1"/>
    <col min="20" max="20" width="17.7109375" bestFit="1" customWidth="1"/>
    <col min="21" max="21" width="11.5703125" bestFit="1" customWidth="1"/>
    <col min="22" max="22" width="2.85546875" customWidth="1"/>
    <col min="23" max="23" width="17.7109375" bestFit="1" customWidth="1"/>
    <col min="24" max="24" width="13" bestFit="1" customWidth="1"/>
    <col min="25" max="25" width="3.140625" customWidth="1"/>
    <col min="26" max="26" width="17.7109375" bestFit="1" customWidth="1"/>
    <col min="27" max="27" width="13" bestFit="1" customWidth="1"/>
    <col min="29" max="29" width="15" bestFit="1" customWidth="1"/>
    <col min="30" max="30" width="8.5703125" bestFit="1" customWidth="1"/>
    <col min="35" max="35" width="4" customWidth="1"/>
    <col min="36" max="36" width="17.42578125" customWidth="1"/>
    <col min="37" max="37" width="12.5703125" customWidth="1"/>
    <col min="38" max="38" width="4.42578125" customWidth="1"/>
    <col min="39" max="39" width="17.7109375" bestFit="1" customWidth="1"/>
    <col min="40" max="40" width="11.42578125" bestFit="1" customWidth="1"/>
    <col min="42" max="42" width="14.42578125" bestFit="1" customWidth="1"/>
    <col min="43" max="43" width="14.42578125" customWidth="1"/>
    <col min="44" max="44" width="10.5703125" bestFit="1" customWidth="1"/>
    <col min="47" max="47" width="10" bestFit="1" customWidth="1"/>
  </cols>
  <sheetData>
    <row r="1" spans="1:47" ht="16.5" thickBot="1">
      <c r="A1" s="402" t="s">
        <v>387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T1" s="447" t="s">
        <v>369</v>
      </c>
      <c r="U1" s="447"/>
      <c r="V1" s="447"/>
      <c r="W1" s="447"/>
      <c r="X1" s="447"/>
      <c r="Y1" s="447"/>
      <c r="Z1" s="447"/>
      <c r="AA1" s="447"/>
      <c r="AC1" s="447" t="s">
        <v>374</v>
      </c>
      <c r="AD1" s="447"/>
      <c r="AE1" s="447"/>
      <c r="AF1" s="447"/>
      <c r="AG1" s="447"/>
      <c r="AH1" s="447"/>
      <c r="AI1" s="447"/>
      <c r="AJ1" s="447"/>
      <c r="AK1" s="447"/>
      <c r="AL1" s="447"/>
      <c r="AM1" s="447"/>
      <c r="AN1" s="447"/>
    </row>
    <row r="2" spans="1:47" ht="16.5" thickBot="1">
      <c r="A2" s="439" t="s">
        <v>52</v>
      </c>
      <c r="B2" s="440"/>
      <c r="C2" s="397" t="s">
        <v>53</v>
      </c>
      <c r="D2" s="445"/>
      <c r="E2" s="444" t="s">
        <v>54</v>
      </c>
      <c r="F2" s="445"/>
      <c r="G2" s="444" t="s">
        <v>55</v>
      </c>
      <c r="H2" s="445"/>
      <c r="I2" s="444" t="s">
        <v>56</v>
      </c>
      <c r="J2" s="445"/>
      <c r="K2" s="444" t="s">
        <v>57</v>
      </c>
      <c r="L2" s="445"/>
      <c r="M2" s="442" t="s">
        <v>58</v>
      </c>
      <c r="N2" s="440"/>
      <c r="O2" s="397" t="s">
        <v>127</v>
      </c>
      <c r="P2" s="446"/>
      <c r="Q2" s="397" t="s">
        <v>147</v>
      </c>
      <c r="R2" s="446"/>
      <c r="T2" s="449" t="s">
        <v>173</v>
      </c>
      <c r="U2" s="448"/>
      <c r="V2" s="275"/>
      <c r="W2" s="448" t="s">
        <v>178</v>
      </c>
      <c r="X2" s="448"/>
      <c r="Y2" s="275"/>
      <c r="Z2" s="448" t="s">
        <v>187</v>
      </c>
      <c r="AA2" s="448"/>
      <c r="AC2" s="448" t="s">
        <v>301</v>
      </c>
      <c r="AD2" s="448"/>
      <c r="AE2" s="276"/>
      <c r="AF2" s="291"/>
      <c r="AG2" s="291"/>
      <c r="AH2" s="291"/>
      <c r="AI2" s="276"/>
      <c r="AJ2" s="448" t="s">
        <v>281</v>
      </c>
      <c r="AK2" s="448"/>
      <c r="AL2" s="276"/>
      <c r="AM2" s="448" t="s">
        <v>195</v>
      </c>
      <c r="AN2" s="448"/>
      <c r="AP2" s="60" t="s">
        <v>380</v>
      </c>
      <c r="AQ2" s="60" t="s">
        <v>384</v>
      </c>
      <c r="AR2" s="60" t="s">
        <v>382</v>
      </c>
      <c r="AS2" s="60" t="s">
        <v>383</v>
      </c>
      <c r="AT2" s="60" t="s">
        <v>385</v>
      </c>
      <c r="AU2" s="60" t="s">
        <v>386</v>
      </c>
    </row>
    <row r="3" spans="1:47" ht="16.5" thickBot="1">
      <c r="A3" s="164" t="s">
        <v>193</v>
      </c>
      <c r="B3" s="166" t="s">
        <v>307</v>
      </c>
      <c r="C3" s="175" t="s">
        <v>193</v>
      </c>
      <c r="D3" s="166" t="s">
        <v>307</v>
      </c>
      <c r="E3" s="170" t="s">
        <v>193</v>
      </c>
      <c r="F3" s="166" t="s">
        <v>307</v>
      </c>
      <c r="G3" s="170" t="s">
        <v>193</v>
      </c>
      <c r="H3" s="166" t="s">
        <v>307</v>
      </c>
      <c r="I3" s="170" t="s">
        <v>193</v>
      </c>
      <c r="J3" s="166" t="s">
        <v>307</v>
      </c>
      <c r="K3" s="170" t="s">
        <v>193</v>
      </c>
      <c r="L3" s="166" t="s">
        <v>307</v>
      </c>
      <c r="M3" s="170" t="s">
        <v>193</v>
      </c>
      <c r="N3" s="166" t="s">
        <v>307</v>
      </c>
      <c r="O3" s="175" t="s">
        <v>193</v>
      </c>
      <c r="P3" s="165" t="s">
        <v>307</v>
      </c>
      <c r="Q3" s="175" t="s">
        <v>193</v>
      </c>
      <c r="R3" s="165" t="s">
        <v>307</v>
      </c>
      <c r="T3" s="276" t="s">
        <v>191</v>
      </c>
      <c r="U3" s="277">
        <v>479</v>
      </c>
      <c r="V3" s="278"/>
      <c r="W3" s="276" t="s">
        <v>191</v>
      </c>
      <c r="X3" s="277">
        <v>240.51010101025486</v>
      </c>
      <c r="Y3" s="278"/>
      <c r="Z3" s="276" t="s">
        <v>191</v>
      </c>
      <c r="AA3" s="277">
        <v>217.9866386256777</v>
      </c>
      <c r="AC3" s="276" t="s">
        <v>276</v>
      </c>
      <c r="AD3" s="292">
        <v>1</v>
      </c>
      <c r="AE3" s="276"/>
      <c r="AF3" s="291"/>
      <c r="AG3" s="291"/>
      <c r="AH3" s="291"/>
      <c r="AI3" s="276"/>
      <c r="AJ3" s="276" t="s">
        <v>185</v>
      </c>
      <c r="AK3" s="288">
        <v>99</v>
      </c>
      <c r="AL3" s="276"/>
      <c r="AM3" s="276" t="s">
        <v>284</v>
      </c>
      <c r="AN3" s="293">
        <f>AD3*(AA3-AA4)*(PI()*AA2*AA2/(4*10000))</f>
        <v>0</v>
      </c>
      <c r="AP3" s="301">
        <v>5.0928100000000001</v>
      </c>
      <c r="AQ3" s="302">
        <v>1401.2137</v>
      </c>
      <c r="AR3" s="171">
        <v>25</v>
      </c>
      <c r="AS3" s="60">
        <f>PI()*(AR3/100)^2</f>
        <v>0.19634954084936207</v>
      </c>
      <c r="AT3" s="60">
        <f>AS3/$AP$3</f>
        <v>3.8554263922934894E-2</v>
      </c>
      <c r="AU3" s="60">
        <f>AT3*$AQ$3</f>
        <v>54.022762802232116</v>
      </c>
    </row>
    <row r="4" spans="1:47" ht="15.75">
      <c r="A4" s="161">
        <v>30</v>
      </c>
      <c r="B4" s="180">
        <v>45</v>
      </c>
      <c r="C4" s="2">
        <v>20</v>
      </c>
      <c r="D4" s="167">
        <v>80</v>
      </c>
      <c r="E4" s="171">
        <v>26</v>
      </c>
      <c r="F4" s="300">
        <v>41.676600000000001</v>
      </c>
      <c r="G4" s="171">
        <v>20</v>
      </c>
      <c r="H4" s="308">
        <f>83.29*PI()*G4*G4/40000</f>
        <v>2.6166325211749388</v>
      </c>
      <c r="I4" s="171">
        <v>8</v>
      </c>
      <c r="K4" s="171">
        <v>25</v>
      </c>
      <c r="L4" s="300">
        <v>54.022762802232116</v>
      </c>
      <c r="M4" s="2">
        <v>7</v>
      </c>
      <c r="N4" s="306">
        <f>329.9*PI()*M4*M4/40000</f>
        <v>1.2696039851136092</v>
      </c>
      <c r="O4" s="2">
        <v>40</v>
      </c>
      <c r="P4" s="306">
        <f>956.7233*PI()*O4*O4/40000</f>
        <v>120.22539563192734</v>
      </c>
      <c r="Q4" s="2">
        <v>25</v>
      </c>
      <c r="R4" s="303">
        <v>16.87</v>
      </c>
      <c r="T4" s="276" t="s">
        <v>192</v>
      </c>
      <c r="U4" s="277">
        <v>0</v>
      </c>
      <c r="V4" s="278"/>
      <c r="W4" s="276" t="s">
        <v>192</v>
      </c>
      <c r="X4" s="277">
        <v>238.48989898974514</v>
      </c>
      <c r="Y4" s="278"/>
      <c r="Z4" s="276" t="s">
        <v>192</v>
      </c>
      <c r="AA4" s="277">
        <v>43.030248666325164</v>
      </c>
      <c r="AC4" s="276" t="s">
        <v>277</v>
      </c>
      <c r="AD4" s="280">
        <v>1</v>
      </c>
      <c r="AE4" s="276"/>
      <c r="AF4" s="291"/>
      <c r="AG4" s="291"/>
      <c r="AH4" s="291"/>
      <c r="AI4" s="276"/>
      <c r="AJ4" s="276" t="s">
        <v>183</v>
      </c>
      <c r="AK4" s="288">
        <v>48</v>
      </c>
      <c r="AL4" s="276"/>
      <c r="AM4" s="276" t="s">
        <v>286</v>
      </c>
      <c r="AN4" s="294">
        <f>AN3*AA14</f>
        <v>0</v>
      </c>
      <c r="AP4" s="60"/>
      <c r="AQ4" s="60"/>
      <c r="AR4" s="171">
        <v>30</v>
      </c>
      <c r="AS4" s="60">
        <f>PI()*(AR4/100)^2</f>
        <v>0.28274333882308139</v>
      </c>
      <c r="AT4" s="60">
        <f t="shared" ref="AT4:AT12" si="0">AS4/$AP$3</f>
        <v>5.5518140049026256E-2</v>
      </c>
      <c r="AU4" s="60">
        <f t="shared" ref="AU4:AU12" si="1">AT4*$AQ$3</f>
        <v>77.79277843521426</v>
      </c>
    </row>
    <row r="5" spans="1:47" ht="15.75">
      <c r="A5" s="161">
        <v>35</v>
      </c>
      <c r="B5" s="300">
        <v>130.09</v>
      </c>
      <c r="C5" s="2">
        <v>25</v>
      </c>
      <c r="D5" s="167">
        <v>80</v>
      </c>
      <c r="E5" s="171">
        <v>33</v>
      </c>
      <c r="F5" s="300">
        <v>47.4251</v>
      </c>
      <c r="G5" s="171">
        <v>25</v>
      </c>
      <c r="H5" s="308">
        <f>83.29*PI()*G5*G5/40000</f>
        <v>4.0884883143358417</v>
      </c>
      <c r="I5" s="171">
        <v>10</v>
      </c>
      <c r="J5" s="180"/>
      <c r="K5" s="2">
        <v>30</v>
      </c>
      <c r="L5" s="300">
        <v>77.79277843521426</v>
      </c>
      <c r="M5" s="2">
        <v>27</v>
      </c>
      <c r="N5" s="306">
        <f t="shared" ref="N5:N9" si="2">319.8*PI()*M5*M5/40000</f>
        <v>18.310317250513339</v>
      </c>
      <c r="O5" s="2">
        <v>50</v>
      </c>
      <c r="P5" s="306">
        <f t="shared" ref="P5:P16" si="3">956.7233*PI()*O5*O5/40000</f>
        <v>187.85218067488648</v>
      </c>
      <c r="Q5" s="2">
        <v>32</v>
      </c>
      <c r="R5" s="300">
        <v>21.02</v>
      </c>
      <c r="T5" s="276" t="s">
        <v>368</v>
      </c>
      <c r="U5" s="279">
        <v>0</v>
      </c>
      <c r="V5" s="278"/>
      <c r="W5" s="276" t="s">
        <v>368</v>
      </c>
      <c r="X5" s="279">
        <v>1E-3</v>
      </c>
      <c r="Y5" s="278"/>
      <c r="Z5" s="276" t="s">
        <v>368</v>
      </c>
      <c r="AA5" s="279">
        <v>120.001</v>
      </c>
      <c r="AC5" s="276" t="s">
        <v>304</v>
      </c>
      <c r="AD5" s="277">
        <v>479</v>
      </c>
      <c r="AE5" s="276"/>
      <c r="AF5" s="291"/>
      <c r="AG5" s="291"/>
      <c r="AH5" s="291"/>
      <c r="AI5" s="276"/>
      <c r="AJ5" s="276" t="s">
        <v>186</v>
      </c>
      <c r="AK5" s="288">
        <v>48</v>
      </c>
      <c r="AL5" s="276"/>
      <c r="AM5" s="276"/>
      <c r="AN5" s="277"/>
      <c r="AP5" s="60"/>
      <c r="AQ5" s="60"/>
      <c r="AR5" s="171">
        <v>35</v>
      </c>
      <c r="AS5" s="60">
        <f t="shared" ref="AS5:AS12" si="4">PI()*(AR5/100)^2</f>
        <v>0.38484510006474959</v>
      </c>
      <c r="AT5" s="60">
        <f t="shared" si="0"/>
        <v>7.5566357288952377E-2</v>
      </c>
      <c r="AU5" s="60">
        <f t="shared" si="1"/>
        <v>105.88461509237493</v>
      </c>
    </row>
    <row r="6" spans="1:47" ht="15.75">
      <c r="A6" s="161">
        <v>40</v>
      </c>
      <c r="B6" s="300">
        <v>141.91999999999999</v>
      </c>
      <c r="C6" s="2">
        <v>30</v>
      </c>
      <c r="D6" s="167">
        <v>80</v>
      </c>
      <c r="E6" s="171">
        <v>38</v>
      </c>
      <c r="F6" s="300">
        <v>50.938099999999999</v>
      </c>
      <c r="G6" s="171">
        <v>30</v>
      </c>
      <c r="H6" s="308">
        <f t="shared" ref="H6:H17" si="5">83.29*PI()*G6*G6/40000</f>
        <v>5.8874231726436115</v>
      </c>
      <c r="I6" s="171">
        <v>12</v>
      </c>
      <c r="J6" s="180"/>
      <c r="K6" s="2">
        <v>35</v>
      </c>
      <c r="L6" s="300">
        <v>105.88461509237493</v>
      </c>
      <c r="M6" s="2">
        <v>32</v>
      </c>
      <c r="N6" s="306">
        <f t="shared" si="2"/>
        <v>25.719842063821208</v>
      </c>
      <c r="O6" s="2">
        <v>60</v>
      </c>
      <c r="P6" s="306">
        <f t="shared" si="3"/>
        <v>270.50714017183657</v>
      </c>
      <c r="Q6" s="2">
        <v>38</v>
      </c>
      <c r="R6" s="300">
        <v>23.94</v>
      </c>
      <c r="T6" s="276" t="s">
        <v>298</v>
      </c>
      <c r="U6" s="280">
        <v>1</v>
      </c>
      <c r="V6" s="278"/>
      <c r="W6" s="276" t="s">
        <v>298</v>
      </c>
      <c r="X6" s="280">
        <v>0.9375</v>
      </c>
      <c r="Y6" s="278"/>
      <c r="Z6" s="276" t="s">
        <v>298</v>
      </c>
      <c r="AA6" s="280">
        <v>0.875</v>
      </c>
      <c r="AC6" s="276" t="s">
        <v>303</v>
      </c>
      <c r="AD6" s="277">
        <v>0</v>
      </c>
      <c r="AE6" s="276"/>
      <c r="AF6" s="291"/>
      <c r="AG6" s="291"/>
      <c r="AH6" s="291"/>
      <c r="AI6" s="276"/>
      <c r="AJ6" s="276" t="s">
        <v>368</v>
      </c>
      <c r="AK6" s="279" t="s">
        <v>372</v>
      </c>
      <c r="AL6" s="276"/>
      <c r="AM6" s="276" t="s">
        <v>285</v>
      </c>
      <c r="AN6" s="295">
        <f>IF(AA21="Fabricante","Fabricante",IF($F$84="Integral",$F$65-$F$66,IF($F$84="Fabricante",0,$F$84))*(PI()*$F$64*$F$64*$F$83/(4*10000*100))*7860)</f>
        <v>0</v>
      </c>
      <c r="AP6" s="60"/>
      <c r="AQ6" s="60"/>
      <c r="AR6" s="171">
        <v>40</v>
      </c>
      <c r="AS6" s="60">
        <f t="shared" si="4"/>
        <v>0.50265482457436694</v>
      </c>
      <c r="AT6" s="60">
        <f t="shared" si="0"/>
        <v>9.8698915642713339E-2</v>
      </c>
      <c r="AU6" s="60">
        <f t="shared" si="1"/>
        <v>138.29827277371425</v>
      </c>
    </row>
    <row r="7" spans="1:47" ht="17.25">
      <c r="A7" s="161">
        <v>45</v>
      </c>
      <c r="B7" s="300">
        <v>156.11000000000001</v>
      </c>
      <c r="C7" s="2">
        <v>35</v>
      </c>
      <c r="D7" s="167">
        <v>120</v>
      </c>
      <c r="E7" s="171">
        <v>42</v>
      </c>
      <c r="F7" s="300">
        <v>56.135899999999999</v>
      </c>
      <c r="G7" s="171">
        <v>40</v>
      </c>
      <c r="H7" s="308">
        <f t="shared" si="5"/>
        <v>10.466530084699755</v>
      </c>
      <c r="I7" s="171">
        <v>16</v>
      </c>
      <c r="J7" s="300">
        <v>53.42</v>
      </c>
      <c r="K7" s="2">
        <v>40</v>
      </c>
      <c r="L7" s="300">
        <v>138.29827277371425</v>
      </c>
      <c r="M7" s="2">
        <v>37</v>
      </c>
      <c r="N7" s="306">
        <f t="shared" si="2"/>
        <v>34.385218540401596</v>
      </c>
      <c r="O7" s="2">
        <v>70</v>
      </c>
      <c r="P7" s="306">
        <f t="shared" si="3"/>
        <v>368.19027412277751</v>
      </c>
      <c r="Q7" s="2">
        <v>42</v>
      </c>
      <c r="R7" s="180">
        <f>(R6+R8)/2</f>
        <v>25.984999999999999</v>
      </c>
      <c r="T7" s="276"/>
      <c r="U7" s="277"/>
      <c r="V7" s="278"/>
      <c r="W7" s="276"/>
      <c r="X7" s="277"/>
      <c r="Y7" s="278"/>
      <c r="Z7" s="276"/>
      <c r="AA7" s="277"/>
      <c r="AC7" s="296" t="s">
        <v>375</v>
      </c>
      <c r="AD7" s="277">
        <v>479</v>
      </c>
      <c r="AE7" s="291"/>
      <c r="AF7" s="291"/>
      <c r="AG7" s="291"/>
      <c r="AH7" s="291"/>
      <c r="AI7" s="291"/>
      <c r="AJ7" s="297" t="s">
        <v>282</v>
      </c>
      <c r="AK7" s="297"/>
      <c r="AL7" s="291"/>
      <c r="AM7" s="276" t="s">
        <v>287</v>
      </c>
      <c r="AN7" s="294">
        <f>IF(AA21="Fabricante","Fabricante",AN6*AA15)</f>
        <v>0</v>
      </c>
      <c r="AP7" s="60"/>
      <c r="AQ7" s="60"/>
      <c r="AR7" s="171">
        <v>50</v>
      </c>
      <c r="AS7" s="60">
        <f t="shared" si="4"/>
        <v>0.78539816339744828</v>
      </c>
      <c r="AT7" s="60">
        <f t="shared" si="0"/>
        <v>0.15421705569173957</v>
      </c>
      <c r="AU7" s="60">
        <f t="shared" si="1"/>
        <v>216.09105120892846</v>
      </c>
    </row>
    <row r="8" spans="1:47" ht="17.25">
      <c r="A8" s="161">
        <v>52</v>
      </c>
      <c r="B8" s="300">
        <v>181.52</v>
      </c>
      <c r="C8" s="2">
        <v>40</v>
      </c>
      <c r="D8" s="167">
        <v>120</v>
      </c>
      <c r="E8" s="171">
        <v>50</v>
      </c>
      <c r="F8" s="167">
        <v>150</v>
      </c>
      <c r="G8" s="171">
        <v>50</v>
      </c>
      <c r="H8" s="308">
        <f t="shared" si="5"/>
        <v>16.353953257343367</v>
      </c>
      <c r="I8" s="171">
        <v>18</v>
      </c>
      <c r="J8" s="300"/>
      <c r="K8" s="2">
        <v>50</v>
      </c>
      <c r="L8" s="300">
        <v>216.09105120892846</v>
      </c>
      <c r="M8" s="2">
        <v>42</v>
      </c>
      <c r="N8" s="306">
        <f t="shared" si="2"/>
        <v>44.306446680254496</v>
      </c>
      <c r="O8" s="2">
        <v>80</v>
      </c>
      <c r="P8" s="306">
        <f t="shared" si="3"/>
        <v>480.90158252770937</v>
      </c>
      <c r="Q8" s="2">
        <v>45</v>
      </c>
      <c r="R8" s="300">
        <v>28.03</v>
      </c>
      <c r="T8" s="281" t="s">
        <v>370</v>
      </c>
      <c r="U8" s="277">
        <v>479</v>
      </c>
      <c r="V8" s="278"/>
      <c r="W8" s="281" t="s">
        <v>370</v>
      </c>
      <c r="X8" s="277">
        <v>256.54410774427186</v>
      </c>
      <c r="Y8" s="278"/>
      <c r="Z8" s="281" t="s">
        <v>370</v>
      </c>
      <c r="AA8" s="277">
        <v>249.12758700077453</v>
      </c>
      <c r="AC8" s="276"/>
      <c r="AD8" s="277"/>
      <c r="AE8" s="291"/>
      <c r="AF8" s="291"/>
      <c r="AG8" s="291"/>
      <c r="AH8" s="291"/>
      <c r="AI8" s="291"/>
      <c r="AJ8" s="276" t="s">
        <v>226</v>
      </c>
      <c r="AK8" s="285">
        <v>2.4001642736251201</v>
      </c>
      <c r="AL8" s="291"/>
      <c r="AM8" s="276"/>
      <c r="AN8" s="277"/>
      <c r="AP8" s="60"/>
      <c r="AQ8" s="60"/>
      <c r="AR8" s="171">
        <v>60</v>
      </c>
      <c r="AS8" s="60">
        <f t="shared" si="4"/>
        <v>1.1309733552923256</v>
      </c>
      <c r="AT8" s="60">
        <f t="shared" si="0"/>
        <v>0.22207256019610502</v>
      </c>
      <c r="AU8" s="60">
        <f t="shared" si="1"/>
        <v>311.17111374085704</v>
      </c>
    </row>
    <row r="9" spans="1:47" ht="18" customHeight="1">
      <c r="A9" s="161">
        <v>60</v>
      </c>
      <c r="B9" s="300">
        <v>223.01</v>
      </c>
      <c r="C9" s="2"/>
      <c r="D9" s="168"/>
      <c r="E9" s="171">
        <v>60</v>
      </c>
      <c r="F9" s="167">
        <v>150</v>
      </c>
      <c r="G9" s="171">
        <v>60</v>
      </c>
      <c r="H9" s="308">
        <f t="shared" si="5"/>
        <v>23.549692690574446</v>
      </c>
      <c r="I9" s="171">
        <v>20</v>
      </c>
      <c r="J9" s="300">
        <v>60.49</v>
      </c>
      <c r="K9" s="2">
        <v>60</v>
      </c>
      <c r="L9" s="300">
        <v>311.17111374085704</v>
      </c>
      <c r="M9" s="2">
        <v>47</v>
      </c>
      <c r="N9" s="306">
        <f t="shared" si="2"/>
        <v>55.483526483379919</v>
      </c>
      <c r="O9" s="2">
        <v>90</v>
      </c>
      <c r="P9" s="306">
        <f t="shared" si="3"/>
        <v>608.64106538663214</v>
      </c>
      <c r="Q9" s="299"/>
      <c r="R9" s="167"/>
      <c r="T9" s="276"/>
      <c r="U9" s="277"/>
      <c r="V9" s="278"/>
      <c r="W9" s="276"/>
      <c r="X9" s="277"/>
      <c r="Y9" s="278"/>
      <c r="Z9" s="276"/>
      <c r="AA9" s="277"/>
      <c r="AC9" s="276" t="s">
        <v>376</v>
      </c>
      <c r="AD9" s="277">
        <v>509.53959145351058</v>
      </c>
      <c r="AE9" s="291"/>
      <c r="AF9" s="291"/>
      <c r="AG9" s="291"/>
      <c r="AH9" s="291"/>
      <c r="AI9" s="291"/>
      <c r="AJ9" s="276" t="s">
        <v>203</v>
      </c>
      <c r="AK9" s="285">
        <v>3.8100953675517077</v>
      </c>
      <c r="AL9" s="291"/>
      <c r="AM9" s="276" t="s">
        <v>290</v>
      </c>
      <c r="AN9" s="283">
        <f>AD3*(AA3-AA4)</f>
        <v>174.95638995935252</v>
      </c>
      <c r="AP9" s="60"/>
      <c r="AQ9" s="60"/>
      <c r="AR9" s="171">
        <v>70</v>
      </c>
      <c r="AS9" s="60">
        <f t="shared" si="4"/>
        <v>1.5393804002589984</v>
      </c>
      <c r="AT9" s="60">
        <f t="shared" si="0"/>
        <v>0.30226542915580951</v>
      </c>
      <c r="AU9" s="60">
        <f t="shared" si="1"/>
        <v>423.53846036949972</v>
      </c>
    </row>
    <row r="10" spans="1:47" ht="18.75">
      <c r="A10" s="161">
        <v>70</v>
      </c>
      <c r="B10" s="300">
        <v>312.22000000000003</v>
      </c>
      <c r="C10" s="2"/>
      <c r="D10" s="168"/>
      <c r="E10" s="171"/>
      <c r="F10" s="168"/>
      <c r="G10" s="171">
        <v>70</v>
      </c>
      <c r="H10" s="308">
        <f t="shared" si="5"/>
        <v>32.053748384392996</v>
      </c>
      <c r="I10" s="171">
        <v>22</v>
      </c>
      <c r="J10" s="300"/>
      <c r="K10" s="2">
        <v>70</v>
      </c>
      <c r="L10" s="300">
        <v>423.53846036949972</v>
      </c>
      <c r="M10" s="272"/>
      <c r="N10" s="273"/>
      <c r="O10" s="2">
        <v>100</v>
      </c>
      <c r="P10" s="306">
        <f t="shared" si="3"/>
        <v>751.40872269954593</v>
      </c>
      <c r="Q10" s="299"/>
      <c r="R10" s="167"/>
      <c r="T10" s="276" t="s">
        <v>193</v>
      </c>
      <c r="U10" s="282">
        <v>33</v>
      </c>
      <c r="V10" s="278"/>
      <c r="W10" s="276" t="s">
        <v>193</v>
      </c>
      <c r="X10" s="282">
        <v>33</v>
      </c>
      <c r="Y10" s="278"/>
      <c r="Z10" s="276" t="s">
        <v>193</v>
      </c>
      <c r="AA10" s="282">
        <v>33</v>
      </c>
      <c r="AC10" s="276" t="s">
        <v>377</v>
      </c>
      <c r="AD10" s="277">
        <v>449.98301582907425</v>
      </c>
      <c r="AE10" s="291"/>
      <c r="AF10" s="291"/>
      <c r="AG10" s="291"/>
      <c r="AH10" s="291"/>
      <c r="AI10" s="291"/>
      <c r="AJ10" s="276"/>
      <c r="AK10" s="277"/>
      <c r="AL10" s="291"/>
      <c r="AM10" s="276" t="s">
        <v>291</v>
      </c>
      <c r="AN10" s="294">
        <f>AN9*AA13</f>
        <v>509.60522166184728</v>
      </c>
      <c r="AP10" s="60"/>
      <c r="AQ10" s="60"/>
      <c r="AR10" s="171">
        <v>80</v>
      </c>
      <c r="AS10" s="60">
        <f t="shared" si="4"/>
        <v>2.0106192982974678</v>
      </c>
      <c r="AT10" s="60">
        <f t="shared" si="0"/>
        <v>0.39479566257085336</v>
      </c>
      <c r="AU10" s="60">
        <f t="shared" si="1"/>
        <v>553.19309109485698</v>
      </c>
    </row>
    <row r="11" spans="1:47" ht="18.75">
      <c r="A11" s="161"/>
      <c r="B11" s="168"/>
      <c r="C11" s="2"/>
      <c r="D11" s="168"/>
      <c r="E11" s="171"/>
      <c r="F11" s="168"/>
      <c r="G11" s="171">
        <v>80</v>
      </c>
      <c r="H11" s="308">
        <f t="shared" si="5"/>
        <v>41.866120338799021</v>
      </c>
      <c r="I11" s="171">
        <v>25</v>
      </c>
      <c r="J11" s="300">
        <v>69.72</v>
      </c>
      <c r="K11" s="2">
        <v>80</v>
      </c>
      <c r="L11" s="300">
        <v>553.19309109485698</v>
      </c>
      <c r="M11" s="272"/>
      <c r="N11" s="273"/>
      <c r="O11" s="2">
        <v>110</v>
      </c>
      <c r="P11" s="306">
        <f t="shared" si="3"/>
        <v>909.20455446645053</v>
      </c>
      <c r="Q11" s="299"/>
      <c r="R11" s="167"/>
      <c r="T11" s="276" t="s">
        <v>334</v>
      </c>
      <c r="U11" s="283">
        <v>-1</v>
      </c>
      <c r="V11" s="278"/>
      <c r="W11" s="276" t="s">
        <v>334</v>
      </c>
      <c r="X11" s="283">
        <v>-1</v>
      </c>
      <c r="Y11" s="278"/>
      <c r="Z11" s="276" t="s">
        <v>334</v>
      </c>
      <c r="AA11" s="283">
        <v>-1</v>
      </c>
      <c r="AC11" s="276" t="s">
        <v>378</v>
      </c>
      <c r="AD11" s="277">
        <v>959.52260728258489</v>
      </c>
      <c r="AE11" s="291"/>
      <c r="AF11" s="291"/>
      <c r="AG11" s="291"/>
      <c r="AH11" s="291"/>
      <c r="AI11" s="291"/>
      <c r="AJ11" s="297" t="s">
        <v>283</v>
      </c>
      <c r="AK11" s="297"/>
      <c r="AL11" s="291"/>
      <c r="AM11" s="276"/>
      <c r="AN11" s="277"/>
      <c r="AP11" s="60"/>
      <c r="AQ11" s="60"/>
      <c r="AR11" s="171">
        <v>90</v>
      </c>
      <c r="AS11" s="60">
        <f t="shared" si="4"/>
        <v>2.5446900494077327</v>
      </c>
      <c r="AT11" s="60">
        <f t="shared" si="0"/>
        <v>0.49966326044123632</v>
      </c>
      <c r="AU11" s="60">
        <f t="shared" si="1"/>
        <v>700.13500591692843</v>
      </c>
    </row>
    <row r="12" spans="1:47" ht="15.75">
      <c r="A12" s="161"/>
      <c r="B12" s="168"/>
      <c r="C12" s="2"/>
      <c r="D12" s="168"/>
      <c r="E12" s="171"/>
      <c r="F12" s="168"/>
      <c r="G12" s="171">
        <v>90</v>
      </c>
      <c r="H12" s="308">
        <f t="shared" si="5"/>
        <v>52.986808553792514</v>
      </c>
      <c r="I12" s="171">
        <v>28</v>
      </c>
      <c r="J12" s="300"/>
      <c r="K12" s="2">
        <v>90</v>
      </c>
      <c r="L12" s="300">
        <v>700.13500591692843</v>
      </c>
      <c r="M12" s="272"/>
      <c r="N12" s="273"/>
      <c r="O12" s="2">
        <v>120</v>
      </c>
      <c r="P12" s="306">
        <f t="shared" si="3"/>
        <v>1082.0285606873463</v>
      </c>
      <c r="Q12" s="299"/>
      <c r="R12" s="167"/>
      <c r="T12" s="276" t="s">
        <v>181</v>
      </c>
      <c r="U12" s="283">
        <v>-13</v>
      </c>
      <c r="V12" s="278"/>
      <c r="W12" s="276" t="s">
        <v>181</v>
      </c>
      <c r="X12" s="283">
        <v>-10</v>
      </c>
      <c r="Y12" s="278"/>
      <c r="Z12" s="276" t="s">
        <v>181</v>
      </c>
      <c r="AA12" s="283">
        <v>-8</v>
      </c>
      <c r="AC12" s="276"/>
      <c r="AD12" s="277"/>
      <c r="AE12" s="291"/>
      <c r="AF12" s="291"/>
      <c r="AG12" s="291"/>
      <c r="AH12" s="291"/>
      <c r="AI12" s="291"/>
      <c r="AJ12" s="276" t="s">
        <v>194</v>
      </c>
      <c r="AK12" s="284">
        <v>5.6003833051252796</v>
      </c>
      <c r="AL12" s="291"/>
      <c r="AM12" s="276" t="s">
        <v>289</v>
      </c>
      <c r="AN12" s="294">
        <f>AA12</f>
        <v>-8</v>
      </c>
      <c r="AP12" s="60"/>
      <c r="AQ12" s="60"/>
      <c r="AR12" s="171">
        <v>100</v>
      </c>
      <c r="AS12" s="60">
        <f t="shared" si="4"/>
        <v>3.1415926535897931</v>
      </c>
      <c r="AT12" s="60">
        <f t="shared" si="0"/>
        <v>0.6168682227669583</v>
      </c>
      <c r="AU12" s="60">
        <f t="shared" si="1"/>
        <v>864.36420483571385</v>
      </c>
    </row>
    <row r="13" spans="1:47" ht="17.25">
      <c r="A13" s="161"/>
      <c r="B13" s="168"/>
      <c r="C13" s="2"/>
      <c r="D13" s="168"/>
      <c r="E13" s="171"/>
      <c r="F13" s="168"/>
      <c r="G13" s="171">
        <v>100</v>
      </c>
      <c r="H13" s="308">
        <f t="shared" si="5"/>
        <v>65.415813029373467</v>
      </c>
      <c r="I13" s="171">
        <v>30</v>
      </c>
      <c r="J13" s="300"/>
      <c r="K13" s="2">
        <v>100</v>
      </c>
      <c r="L13" s="300">
        <v>864.36420483571385</v>
      </c>
      <c r="M13" s="272"/>
      <c r="N13" s="273"/>
      <c r="O13" s="2">
        <v>130</v>
      </c>
      <c r="P13" s="306">
        <f t="shared" si="3"/>
        <v>1269.8807413622328</v>
      </c>
      <c r="Q13" s="299"/>
      <c r="R13" s="167"/>
      <c r="T13" s="276" t="s">
        <v>194</v>
      </c>
      <c r="U13" s="284">
        <v>5.6003833051252787</v>
      </c>
      <c r="V13" s="278"/>
      <c r="W13" s="276" t="s">
        <v>194</v>
      </c>
      <c r="X13" s="284">
        <v>2.9994683466373293</v>
      </c>
      <c r="Y13" s="278"/>
      <c r="Z13" s="276" t="s">
        <v>194</v>
      </c>
      <c r="AA13" s="284">
        <v>2.9127556974640565</v>
      </c>
      <c r="AC13" s="296" t="s">
        <v>379</v>
      </c>
      <c r="AD13" s="277">
        <v>479.76130364129244</v>
      </c>
      <c r="AE13" s="291"/>
      <c r="AF13" s="291"/>
      <c r="AG13" s="291"/>
      <c r="AH13" s="291"/>
      <c r="AI13" s="291"/>
      <c r="AJ13" s="276" t="s">
        <v>183</v>
      </c>
      <c r="AK13" s="283" t="s">
        <v>373</v>
      </c>
      <c r="AL13" s="291"/>
      <c r="AM13" s="276"/>
      <c r="AN13" s="277"/>
      <c r="AP13" s="60"/>
      <c r="AQ13" s="60"/>
      <c r="AR13" s="60"/>
      <c r="AS13" s="60"/>
      <c r="AT13" s="60"/>
      <c r="AU13" s="60"/>
    </row>
    <row r="14" spans="1:47" ht="15.75">
      <c r="A14" s="161"/>
      <c r="B14" s="168"/>
      <c r="C14" s="2"/>
      <c r="D14" s="168"/>
      <c r="E14" s="171"/>
      <c r="F14" s="168"/>
      <c r="G14" s="171">
        <v>110</v>
      </c>
      <c r="H14" s="308">
        <f t="shared" si="5"/>
        <v>79.153133765541895</v>
      </c>
      <c r="I14" s="171">
        <v>31</v>
      </c>
      <c r="J14" s="300">
        <v>83.95</v>
      </c>
      <c r="K14" s="2"/>
      <c r="L14" s="168"/>
      <c r="M14" s="272"/>
      <c r="N14" s="273"/>
      <c r="O14" s="2">
        <v>140</v>
      </c>
      <c r="P14" s="306">
        <f t="shared" si="3"/>
        <v>1472.76109649111</v>
      </c>
      <c r="Q14" s="299"/>
      <c r="R14" s="167"/>
      <c r="T14" s="276" t="s">
        <v>226</v>
      </c>
      <c r="U14" s="285">
        <v>2.4001642736251192</v>
      </c>
      <c r="V14" s="278"/>
      <c r="W14" s="276" t="s">
        <v>226</v>
      </c>
      <c r="X14" s="285">
        <v>0.89638558702698579</v>
      </c>
      <c r="Y14" s="278"/>
      <c r="Z14" s="276" t="s">
        <v>226</v>
      </c>
      <c r="AA14" s="285">
        <v>0.46526218246613499</v>
      </c>
      <c r="AC14" s="276"/>
      <c r="AD14" s="277"/>
      <c r="AE14" s="291"/>
      <c r="AF14" s="291"/>
      <c r="AG14" s="291"/>
      <c r="AH14" s="291"/>
      <c r="AI14" s="291"/>
      <c r="AJ14" s="276" t="s">
        <v>296</v>
      </c>
      <c r="AK14" s="298" t="s">
        <v>373</v>
      </c>
      <c r="AL14" s="291"/>
      <c r="AM14" s="276" t="s">
        <v>288</v>
      </c>
      <c r="AN14" s="294">
        <f>IF(AA21="Fabricante","Fabricante",SUM(AN4,AN7,AN10,AN12))</f>
        <v>501.60522166184728</v>
      </c>
      <c r="AP14" s="60"/>
      <c r="AQ14" s="60"/>
      <c r="AR14" s="60"/>
      <c r="AS14" s="60"/>
      <c r="AT14" s="60"/>
      <c r="AU14" s="60"/>
    </row>
    <row r="15" spans="1:47" ht="15.75">
      <c r="A15" s="161"/>
      <c r="B15" s="168"/>
      <c r="C15" s="2"/>
      <c r="D15" s="168"/>
      <c r="E15" s="171"/>
      <c r="F15" s="168"/>
      <c r="G15" s="171">
        <v>120</v>
      </c>
      <c r="H15" s="308">
        <f t="shared" si="5"/>
        <v>94.198770762297784</v>
      </c>
      <c r="I15" s="171">
        <v>35</v>
      </c>
      <c r="J15" s="300"/>
      <c r="K15" s="2"/>
      <c r="L15" s="168"/>
      <c r="M15" s="272"/>
      <c r="N15" s="273"/>
      <c r="O15" s="2">
        <v>150</v>
      </c>
      <c r="P15" s="306">
        <f t="shared" si="3"/>
        <v>1690.6696260739784</v>
      </c>
      <c r="Q15" s="299"/>
      <c r="R15" s="167"/>
      <c r="T15" s="276" t="s">
        <v>203</v>
      </c>
      <c r="U15" s="285">
        <v>3.8100953675517077</v>
      </c>
      <c r="V15" s="278"/>
      <c r="W15" s="276" t="s">
        <v>203</v>
      </c>
      <c r="X15" s="285">
        <v>3.0713721890561554</v>
      </c>
      <c r="Y15" s="278"/>
      <c r="Z15" s="276" t="s">
        <v>203</v>
      </c>
      <c r="AA15" s="285">
        <v>4.2595784379602302</v>
      </c>
      <c r="AP15" s="60"/>
      <c r="AQ15" s="60"/>
      <c r="AR15" s="60"/>
      <c r="AS15" s="60"/>
      <c r="AT15" s="60"/>
      <c r="AU15" s="60"/>
    </row>
    <row r="16" spans="1:47" ht="15.75">
      <c r="A16" s="161"/>
      <c r="B16" s="168"/>
      <c r="C16" s="2"/>
      <c r="D16" s="168"/>
      <c r="E16" s="171"/>
      <c r="F16" s="168"/>
      <c r="G16" s="171">
        <v>130</v>
      </c>
      <c r="H16" s="308">
        <f t="shared" si="5"/>
        <v>110.55272401964118</v>
      </c>
      <c r="I16" s="171">
        <v>38</v>
      </c>
      <c r="J16" s="300"/>
      <c r="K16" s="2"/>
      <c r="L16" s="168"/>
      <c r="M16" s="272"/>
      <c r="N16" s="273"/>
      <c r="O16" s="2">
        <v>160</v>
      </c>
      <c r="P16" s="306">
        <f t="shared" si="3"/>
        <v>1923.6063301108375</v>
      </c>
      <c r="Q16" s="299"/>
      <c r="R16" s="167"/>
      <c r="T16" s="276"/>
      <c r="U16" s="286"/>
      <c r="V16" s="278"/>
      <c r="W16" s="276"/>
      <c r="X16" s="287"/>
      <c r="Y16" s="278"/>
      <c r="Z16" s="276"/>
      <c r="AA16" s="276"/>
      <c r="AP16" s="60"/>
      <c r="AQ16" s="60"/>
      <c r="AR16" s="60"/>
      <c r="AS16" s="60"/>
      <c r="AT16" s="60"/>
      <c r="AU16" s="60"/>
    </row>
    <row r="17" spans="1:47" ht="18" thickBot="1">
      <c r="A17" s="164"/>
      <c r="B17" s="166"/>
      <c r="C17" s="179"/>
      <c r="D17" s="169"/>
      <c r="E17" s="172"/>
      <c r="F17" s="169"/>
      <c r="G17" s="170">
        <v>140</v>
      </c>
      <c r="H17" s="309">
        <f t="shared" si="5"/>
        <v>128.21499353757198</v>
      </c>
      <c r="I17" s="170">
        <v>40</v>
      </c>
      <c r="J17" s="305">
        <v>108.25</v>
      </c>
      <c r="K17" s="179"/>
      <c r="L17" s="169"/>
      <c r="M17" s="172"/>
      <c r="N17" s="169"/>
      <c r="O17" s="175">
        <v>170</v>
      </c>
      <c r="P17" s="307">
        <f>956.7233*PI()*O17*O17/40000</f>
        <v>2171.5712086016879</v>
      </c>
      <c r="Q17" s="304"/>
      <c r="R17" s="173"/>
      <c r="T17" s="281" t="s">
        <v>371</v>
      </c>
      <c r="U17" s="277">
        <v>479.76130364129244</v>
      </c>
      <c r="V17" s="278"/>
      <c r="W17" s="281" t="s">
        <v>371</v>
      </c>
      <c r="X17" s="277">
        <v>276.27633692446841</v>
      </c>
      <c r="Y17" s="278"/>
      <c r="Z17" s="281" t="s">
        <v>371</v>
      </c>
      <c r="AA17" s="277">
        <v>253.11544640385432</v>
      </c>
      <c r="AP17" s="60"/>
      <c r="AQ17" s="60"/>
      <c r="AR17" s="60"/>
      <c r="AS17" s="60"/>
      <c r="AT17" s="60"/>
      <c r="AU17" s="60"/>
    </row>
    <row r="18" spans="1:47" ht="15.75">
      <c r="T18" s="276"/>
      <c r="U18" s="277"/>
      <c r="V18" s="278"/>
      <c r="W18" s="276"/>
      <c r="X18" s="285"/>
      <c r="Y18" s="278"/>
      <c r="Z18" s="276"/>
      <c r="AA18" s="285"/>
    </row>
    <row r="19" spans="1:47" ht="15.75">
      <c r="A19" s="397" t="s">
        <v>389</v>
      </c>
      <c r="B19" s="397"/>
      <c r="C19" s="397"/>
      <c r="D19" s="397"/>
      <c r="E19" s="397"/>
      <c r="F19" s="397"/>
      <c r="G19" s="397"/>
      <c r="H19" s="397"/>
      <c r="I19" s="397"/>
      <c r="J19" s="397"/>
      <c r="K19" s="397"/>
      <c r="T19" s="276" t="s">
        <v>185</v>
      </c>
      <c r="U19" s="288">
        <v>0</v>
      </c>
      <c r="V19" s="278"/>
      <c r="W19" s="276" t="s">
        <v>185</v>
      </c>
      <c r="X19" s="288">
        <v>99</v>
      </c>
      <c r="Y19" s="278"/>
      <c r="Z19" s="276" t="s">
        <v>185</v>
      </c>
      <c r="AA19" s="288">
        <v>99</v>
      </c>
    </row>
    <row r="20" spans="1:47" ht="16.5" thickBot="1">
      <c r="A20" s="175" t="s">
        <v>367</v>
      </c>
      <c r="B20" s="175" t="s">
        <v>52</v>
      </c>
      <c r="C20" s="179" t="s">
        <v>53</v>
      </c>
      <c r="D20" s="179" t="s">
        <v>54</v>
      </c>
      <c r="E20" s="179" t="s">
        <v>55</v>
      </c>
      <c r="F20" s="175" t="s">
        <v>56</v>
      </c>
      <c r="G20" s="179" t="s">
        <v>57</v>
      </c>
      <c r="H20" s="179" t="s">
        <v>58</v>
      </c>
      <c r="I20" s="179" t="s">
        <v>127</v>
      </c>
      <c r="J20" s="175" t="s">
        <v>128</v>
      </c>
      <c r="K20" s="175" t="s">
        <v>147</v>
      </c>
      <c r="N20" t="s">
        <v>381</v>
      </c>
      <c r="T20" s="276" t="s">
        <v>184</v>
      </c>
      <c r="U20" s="288">
        <v>31.5</v>
      </c>
      <c r="V20" s="278"/>
      <c r="W20" s="276" t="s">
        <v>184</v>
      </c>
      <c r="X20" s="288">
        <v>31.5</v>
      </c>
      <c r="Y20" s="278"/>
      <c r="Z20" s="276" t="s">
        <v>184</v>
      </c>
      <c r="AA20" s="288">
        <v>31.5</v>
      </c>
    </row>
    <row r="21" spans="1:47" ht="15.75" hidden="1">
      <c r="A21" s="2">
        <v>5</v>
      </c>
      <c r="B21" s="270" t="str">
        <f>IFERROR(INDEX($B$4:$B$10,MATCH($A21,$A$4:$A$10,0)), "-")</f>
        <v>-</v>
      </c>
      <c r="C21" s="270" t="str">
        <f>IFERROR(INDEX($D$4:$D$8,MATCH($A21,$C$4:$C$8,0)), "-")</f>
        <v>-</v>
      </c>
      <c r="D21" s="270" t="str">
        <f>IFERROR(INDEX($F$4:$F$9,MATCH($A21,$E$4:$E$9,0)), "-")</f>
        <v>-</v>
      </c>
      <c r="E21" s="270" t="str">
        <f>IFERROR(INDEX($H$4:$H$17,MATCH($A21,$G$4:$G$17,0)), "-")</f>
        <v>-</v>
      </c>
      <c r="F21" s="270" t="str">
        <f>IFERROR(INDEX($J$4:$J$17,MATCH($A21,$I$4:$I$17,0)), "-")</f>
        <v>-</v>
      </c>
      <c r="G21" s="269" t="str">
        <f t="shared" ref="G21:G61" si="6">IFERROR(INDEX($L$4:$L$13,MATCH($A21,$K$4:$K$13,0)), "-")</f>
        <v>-</v>
      </c>
      <c r="H21" s="269" t="str">
        <f>IFERROR(INDEX($N$4:$N$17,MATCH($A21,$M$4:$M$17,0)), "-")</f>
        <v>-</v>
      </c>
      <c r="I21" s="269" t="str">
        <f t="shared" ref="I21:I61" si="7">IFERROR(INDEX($P$4:$P$17,MATCH($A21,$O$4:$O$17,0)), "-")</f>
        <v>-</v>
      </c>
      <c r="J21" s="269"/>
      <c r="K21" s="269" t="str">
        <f>IFERROR(INDEX($R$4:$R$17,MATCH($A21,$Q$4:$Q$17,0)), "-")</f>
        <v>-</v>
      </c>
      <c r="L21" s="268"/>
      <c r="T21" s="276" t="s">
        <v>183</v>
      </c>
      <c r="U21" s="288">
        <v>63</v>
      </c>
      <c r="V21" s="278"/>
      <c r="W21" s="276" t="s">
        <v>183</v>
      </c>
      <c r="X21" s="288">
        <v>162</v>
      </c>
      <c r="Y21" s="278"/>
      <c r="Z21" s="276" t="s">
        <v>183</v>
      </c>
      <c r="AA21" s="288">
        <v>162</v>
      </c>
    </row>
    <row r="22" spans="1:47" ht="16.5" hidden="1" thickBot="1">
      <c r="A22" s="2">
        <v>7</v>
      </c>
      <c r="B22" s="270" t="str">
        <f t="shared" ref="B22:B61" si="8">IFERROR(INDEX($B$4:$B$10,MATCH(A22,$A$4:$A$10,0)), "-")</f>
        <v>-</v>
      </c>
      <c r="C22" s="270" t="str">
        <f t="shared" ref="C22:C61" si="9">IFERROR(INDEX($D$4:$D$8,MATCH($A22,$C$4:$C$8,0)), "-")</f>
        <v>-</v>
      </c>
      <c r="D22" s="270" t="str">
        <f t="shared" ref="D22:D61" si="10">IFERROR(INDEX($F$4:$F$9,MATCH($A22,$E$4:$E$9,0)), "-")</f>
        <v>-</v>
      </c>
      <c r="E22" s="270" t="str">
        <f t="shared" ref="E22:E61" si="11">IFERROR(INDEX($H$4:$H$17,MATCH($A22,$G$4:$G$17,0)), "-")</f>
        <v>-</v>
      </c>
      <c r="F22" s="270" t="str">
        <f t="shared" ref="F22:F61" si="12">IFERROR(INDEX($J$4:$J$17,MATCH($A22,$I$4:$I$17,0)), "-")</f>
        <v>-</v>
      </c>
      <c r="G22" s="269" t="str">
        <f t="shared" si="6"/>
        <v>-</v>
      </c>
      <c r="H22" s="269">
        <f t="shared" ref="H22:H61" si="13">IFERROR(INDEX($N$4:$N$17,MATCH($A22,$M$4:$M$17,0)), "-")</f>
        <v>1.2696039851136092</v>
      </c>
      <c r="I22" s="269" t="str">
        <f t="shared" si="7"/>
        <v>-</v>
      </c>
      <c r="J22" s="269"/>
      <c r="K22" s="269" t="str">
        <f t="shared" ref="K22:K61" si="14">IFERROR(INDEX($R$4:$R$17,MATCH($A22,$Q$4:$Q$17,0)), "-")</f>
        <v>-</v>
      </c>
      <c r="L22" s="268"/>
      <c r="M22" s="268"/>
      <c r="T22" s="289" t="s">
        <v>186</v>
      </c>
      <c r="U22" s="290">
        <v>63</v>
      </c>
      <c r="V22" s="278"/>
      <c r="W22" s="289" t="s">
        <v>186</v>
      </c>
      <c r="X22" s="290">
        <v>63</v>
      </c>
      <c r="Y22" s="278"/>
      <c r="Z22" s="289" t="s">
        <v>186</v>
      </c>
      <c r="AA22" s="290">
        <v>148.73651497465943</v>
      </c>
    </row>
    <row r="23" spans="1:47" hidden="1">
      <c r="A23" s="2">
        <v>8</v>
      </c>
      <c r="B23" s="270" t="str">
        <f t="shared" si="8"/>
        <v>-</v>
      </c>
      <c r="C23" s="270" t="str">
        <f t="shared" si="9"/>
        <v>-</v>
      </c>
      <c r="D23" s="270" t="str">
        <f t="shared" si="10"/>
        <v>-</v>
      </c>
      <c r="E23" s="270" t="str">
        <f t="shared" si="11"/>
        <v>-</v>
      </c>
      <c r="F23" s="270" t="s">
        <v>388</v>
      </c>
      <c r="G23" s="269" t="str">
        <f t="shared" si="6"/>
        <v>-</v>
      </c>
      <c r="H23" s="269" t="str">
        <f t="shared" si="13"/>
        <v>-</v>
      </c>
      <c r="I23" s="269" t="str">
        <f t="shared" si="7"/>
        <v>-</v>
      </c>
      <c r="J23" s="269"/>
      <c r="K23" s="269" t="str">
        <f t="shared" si="14"/>
        <v>-</v>
      </c>
      <c r="L23" s="268"/>
      <c r="M23" s="268"/>
      <c r="T23" s="274"/>
      <c r="U23" s="274"/>
      <c r="V23" s="274"/>
      <c r="W23" s="274"/>
      <c r="X23" s="274"/>
      <c r="Y23" s="274"/>
      <c r="Z23" s="274"/>
      <c r="AA23" s="274"/>
    </row>
    <row r="24" spans="1:47" hidden="1">
      <c r="A24" s="2">
        <v>9</v>
      </c>
      <c r="B24" s="270" t="str">
        <f t="shared" si="8"/>
        <v>-</v>
      </c>
      <c r="C24" s="270" t="str">
        <f t="shared" si="9"/>
        <v>-</v>
      </c>
      <c r="D24" s="270" t="str">
        <f t="shared" si="10"/>
        <v>-</v>
      </c>
      <c r="E24" s="270" t="str">
        <f t="shared" si="11"/>
        <v>-</v>
      </c>
      <c r="F24" s="270" t="str">
        <f t="shared" si="12"/>
        <v>-</v>
      </c>
      <c r="G24" s="269" t="str">
        <f t="shared" si="6"/>
        <v>-</v>
      </c>
      <c r="H24" s="269" t="str">
        <f t="shared" si="13"/>
        <v>-</v>
      </c>
      <c r="I24" s="269" t="str">
        <f t="shared" si="7"/>
        <v>-</v>
      </c>
      <c r="J24" s="269"/>
      <c r="K24" s="269" t="str">
        <f t="shared" si="14"/>
        <v>-</v>
      </c>
      <c r="L24" s="268"/>
      <c r="M24" s="268"/>
    </row>
    <row r="25" spans="1:47" hidden="1">
      <c r="A25" s="2">
        <v>10</v>
      </c>
      <c r="B25" s="270" t="str">
        <f t="shared" si="8"/>
        <v>-</v>
      </c>
      <c r="C25" s="270" t="str">
        <f t="shared" si="9"/>
        <v>-</v>
      </c>
      <c r="D25" s="270" t="str">
        <f t="shared" si="10"/>
        <v>-</v>
      </c>
      <c r="E25" s="270" t="str">
        <f t="shared" si="11"/>
        <v>-</v>
      </c>
      <c r="F25" s="270" t="s">
        <v>388</v>
      </c>
      <c r="G25" s="269" t="str">
        <f t="shared" si="6"/>
        <v>-</v>
      </c>
      <c r="H25" s="269" t="str">
        <f t="shared" si="13"/>
        <v>-</v>
      </c>
      <c r="I25" s="269" t="str">
        <f t="shared" si="7"/>
        <v>-</v>
      </c>
      <c r="J25" s="269"/>
      <c r="K25" s="269" t="str">
        <f t="shared" si="14"/>
        <v>-</v>
      </c>
      <c r="L25" s="268"/>
      <c r="M25" s="268"/>
    </row>
    <row r="26" spans="1:47" hidden="1">
      <c r="A26" s="161">
        <v>12</v>
      </c>
      <c r="B26" s="270" t="str">
        <f t="shared" si="8"/>
        <v>-</v>
      </c>
      <c r="C26" s="270" t="str">
        <f t="shared" si="9"/>
        <v>-</v>
      </c>
      <c r="D26" s="270" t="str">
        <f t="shared" si="10"/>
        <v>-</v>
      </c>
      <c r="E26" s="270" t="str">
        <f t="shared" si="11"/>
        <v>-</v>
      </c>
      <c r="F26" s="270" t="s">
        <v>388</v>
      </c>
      <c r="G26" s="269" t="str">
        <f t="shared" si="6"/>
        <v>-</v>
      </c>
      <c r="H26" s="269" t="str">
        <f t="shared" si="13"/>
        <v>-</v>
      </c>
      <c r="I26" s="269" t="str">
        <f t="shared" si="7"/>
        <v>-</v>
      </c>
      <c r="J26" s="269"/>
      <c r="K26" s="269" t="str">
        <f t="shared" si="14"/>
        <v>-</v>
      </c>
      <c r="L26" s="268"/>
      <c r="M26" s="268"/>
    </row>
    <row r="27" spans="1:47" hidden="1">
      <c r="A27" s="161">
        <v>15</v>
      </c>
      <c r="B27" s="270" t="str">
        <f t="shared" si="8"/>
        <v>-</v>
      </c>
      <c r="C27" s="270" t="str">
        <f t="shared" si="9"/>
        <v>-</v>
      </c>
      <c r="D27" s="270" t="str">
        <f t="shared" si="10"/>
        <v>-</v>
      </c>
      <c r="E27" s="270" t="str">
        <f t="shared" si="11"/>
        <v>-</v>
      </c>
      <c r="F27" s="270" t="str">
        <f t="shared" si="12"/>
        <v>-</v>
      </c>
      <c r="G27" s="269" t="str">
        <f t="shared" si="6"/>
        <v>-</v>
      </c>
      <c r="H27" s="269" t="str">
        <f t="shared" si="13"/>
        <v>-</v>
      </c>
      <c r="I27" s="269" t="str">
        <f t="shared" si="7"/>
        <v>-</v>
      </c>
      <c r="J27" s="269"/>
      <c r="K27" s="269" t="str">
        <f t="shared" si="14"/>
        <v>-</v>
      </c>
      <c r="L27" s="268"/>
      <c r="M27" s="268"/>
    </row>
    <row r="28" spans="1:47" hidden="1">
      <c r="A28" s="161">
        <v>16</v>
      </c>
      <c r="B28" s="270" t="str">
        <f t="shared" si="8"/>
        <v>-</v>
      </c>
      <c r="C28" s="270" t="str">
        <f t="shared" si="9"/>
        <v>-</v>
      </c>
      <c r="D28" s="270" t="str">
        <f t="shared" si="10"/>
        <v>-</v>
      </c>
      <c r="E28" s="270" t="str">
        <f t="shared" si="11"/>
        <v>-</v>
      </c>
      <c r="F28" s="270">
        <f t="shared" si="12"/>
        <v>53.42</v>
      </c>
      <c r="G28" s="269" t="str">
        <f t="shared" si="6"/>
        <v>-</v>
      </c>
      <c r="H28" s="269" t="str">
        <f t="shared" si="13"/>
        <v>-</v>
      </c>
      <c r="I28" s="269" t="str">
        <f t="shared" si="7"/>
        <v>-</v>
      </c>
      <c r="J28" s="269"/>
      <c r="K28" s="269" t="str">
        <f t="shared" si="14"/>
        <v>-</v>
      </c>
      <c r="L28" s="268"/>
      <c r="M28" s="268"/>
    </row>
    <row r="29" spans="1:47" hidden="1">
      <c r="A29" s="161">
        <v>18</v>
      </c>
      <c r="B29" s="270" t="str">
        <f t="shared" si="8"/>
        <v>-</v>
      </c>
      <c r="C29" s="270" t="str">
        <f t="shared" si="9"/>
        <v>-</v>
      </c>
      <c r="D29" s="270" t="str">
        <f t="shared" si="10"/>
        <v>-</v>
      </c>
      <c r="E29" s="270" t="str">
        <f t="shared" si="11"/>
        <v>-</v>
      </c>
      <c r="F29" s="270" t="s">
        <v>388</v>
      </c>
      <c r="G29" s="269" t="str">
        <f t="shared" si="6"/>
        <v>-</v>
      </c>
      <c r="H29" s="269" t="str">
        <f t="shared" si="13"/>
        <v>-</v>
      </c>
      <c r="I29" s="269" t="str">
        <f t="shared" si="7"/>
        <v>-</v>
      </c>
      <c r="J29" s="269"/>
      <c r="K29" s="269" t="str">
        <f t="shared" si="14"/>
        <v>-</v>
      </c>
      <c r="L29" s="268"/>
      <c r="M29" s="268"/>
    </row>
    <row r="30" spans="1:47">
      <c r="A30" s="168">
        <v>20</v>
      </c>
      <c r="B30" s="270" t="str">
        <f t="shared" si="8"/>
        <v>-</v>
      </c>
      <c r="C30" s="270">
        <f t="shared" si="9"/>
        <v>80</v>
      </c>
      <c r="D30" s="270" t="str">
        <f t="shared" si="10"/>
        <v>-</v>
      </c>
      <c r="E30" s="270">
        <f t="shared" si="11"/>
        <v>2.6166325211749388</v>
      </c>
      <c r="F30" s="270">
        <f t="shared" si="12"/>
        <v>60.49</v>
      </c>
      <c r="G30" s="269" t="str">
        <f t="shared" si="6"/>
        <v>-</v>
      </c>
      <c r="H30" s="269" t="str">
        <f t="shared" si="13"/>
        <v>-</v>
      </c>
      <c r="I30" s="269" t="str">
        <f t="shared" si="7"/>
        <v>-</v>
      </c>
      <c r="J30" s="269"/>
      <c r="K30" s="269" t="str">
        <f t="shared" si="14"/>
        <v>-</v>
      </c>
      <c r="L30" s="268"/>
      <c r="M30" s="268"/>
    </row>
    <row r="31" spans="1:47">
      <c r="A31" s="168">
        <v>22</v>
      </c>
      <c r="B31" s="270" t="str">
        <f t="shared" si="8"/>
        <v>-</v>
      </c>
      <c r="C31" s="270" t="str">
        <f t="shared" si="9"/>
        <v>-</v>
      </c>
      <c r="D31" s="270" t="str">
        <f t="shared" si="10"/>
        <v>-</v>
      </c>
      <c r="E31" s="270" t="str">
        <f t="shared" si="11"/>
        <v>-</v>
      </c>
      <c r="F31" s="270" t="s">
        <v>388</v>
      </c>
      <c r="G31" s="269" t="str">
        <f t="shared" si="6"/>
        <v>-</v>
      </c>
      <c r="H31" s="269" t="str">
        <f t="shared" si="13"/>
        <v>-</v>
      </c>
      <c r="I31" s="269" t="str">
        <f t="shared" si="7"/>
        <v>-</v>
      </c>
      <c r="J31" s="269"/>
      <c r="K31" s="269" t="str">
        <f t="shared" si="14"/>
        <v>-</v>
      </c>
      <c r="L31" s="268"/>
      <c r="M31" s="268"/>
    </row>
    <row r="32" spans="1:47">
      <c r="A32" s="168">
        <v>25</v>
      </c>
      <c r="B32" s="270" t="str">
        <f t="shared" si="8"/>
        <v>-</v>
      </c>
      <c r="C32" s="270">
        <f t="shared" si="9"/>
        <v>80</v>
      </c>
      <c r="D32" s="270" t="str">
        <f t="shared" si="10"/>
        <v>-</v>
      </c>
      <c r="E32" s="270">
        <f t="shared" si="11"/>
        <v>4.0884883143358417</v>
      </c>
      <c r="F32" s="270">
        <f t="shared" si="12"/>
        <v>69.72</v>
      </c>
      <c r="G32" s="269">
        <f t="shared" si="6"/>
        <v>54.022762802232116</v>
      </c>
      <c r="H32" s="269" t="str">
        <f t="shared" si="13"/>
        <v>-</v>
      </c>
      <c r="I32" s="269" t="str">
        <f t="shared" si="7"/>
        <v>-</v>
      </c>
      <c r="J32" s="269"/>
      <c r="K32" s="269">
        <f t="shared" si="14"/>
        <v>16.87</v>
      </c>
      <c r="L32" s="268"/>
      <c r="M32" s="268"/>
    </row>
    <row r="33" spans="1:13">
      <c r="A33" s="168">
        <v>26</v>
      </c>
      <c r="B33" s="270" t="str">
        <f t="shared" si="8"/>
        <v>-</v>
      </c>
      <c r="C33" s="270" t="str">
        <f t="shared" si="9"/>
        <v>-</v>
      </c>
      <c r="D33" s="270">
        <f t="shared" si="10"/>
        <v>41.676600000000001</v>
      </c>
      <c r="E33" s="270" t="str">
        <f t="shared" si="11"/>
        <v>-</v>
      </c>
      <c r="F33" s="270" t="str">
        <f t="shared" si="12"/>
        <v>-</v>
      </c>
      <c r="G33" s="269" t="str">
        <f t="shared" si="6"/>
        <v>-</v>
      </c>
      <c r="H33" s="269" t="str">
        <f t="shared" si="13"/>
        <v>-</v>
      </c>
      <c r="I33" s="269" t="str">
        <f t="shared" si="7"/>
        <v>-</v>
      </c>
      <c r="J33" s="269"/>
      <c r="K33" s="269" t="str">
        <f t="shared" si="14"/>
        <v>-</v>
      </c>
      <c r="L33" s="268"/>
      <c r="M33" s="268"/>
    </row>
    <row r="34" spans="1:13">
      <c r="A34" s="168">
        <v>27</v>
      </c>
      <c r="B34" s="270" t="str">
        <f>IFERROR(INDEX($B$4:$B$10,MATCH(A34,$A$4:$A$10,0)), "-")</f>
        <v>-</v>
      </c>
      <c r="C34" s="270" t="str">
        <f t="shared" si="9"/>
        <v>-</v>
      </c>
      <c r="D34" s="270" t="str">
        <f t="shared" si="10"/>
        <v>-</v>
      </c>
      <c r="E34" s="270" t="str">
        <f t="shared" si="11"/>
        <v>-</v>
      </c>
      <c r="F34" s="270" t="str">
        <f t="shared" si="12"/>
        <v>-</v>
      </c>
      <c r="G34" s="269" t="str">
        <f t="shared" si="6"/>
        <v>-</v>
      </c>
      <c r="H34" s="269">
        <f t="shared" si="13"/>
        <v>18.310317250513339</v>
      </c>
      <c r="I34" s="269" t="str">
        <f t="shared" si="7"/>
        <v>-</v>
      </c>
      <c r="J34" s="269"/>
      <c r="K34" s="269" t="str">
        <f t="shared" si="14"/>
        <v>-</v>
      </c>
      <c r="L34" s="268"/>
      <c r="M34" s="268"/>
    </row>
    <row r="35" spans="1:13">
      <c r="A35" s="168">
        <v>28</v>
      </c>
      <c r="B35" s="270" t="str">
        <f t="shared" si="8"/>
        <v>-</v>
      </c>
      <c r="C35" s="270" t="str">
        <f t="shared" si="9"/>
        <v>-</v>
      </c>
      <c r="D35" s="270" t="str">
        <f t="shared" si="10"/>
        <v>-</v>
      </c>
      <c r="E35" s="270" t="str">
        <f t="shared" si="11"/>
        <v>-</v>
      </c>
      <c r="F35" s="270" t="s">
        <v>388</v>
      </c>
      <c r="G35" s="269" t="str">
        <f t="shared" si="6"/>
        <v>-</v>
      </c>
      <c r="H35" s="269" t="str">
        <f t="shared" si="13"/>
        <v>-</v>
      </c>
      <c r="I35" s="269" t="str">
        <f t="shared" si="7"/>
        <v>-</v>
      </c>
      <c r="J35" s="269"/>
      <c r="K35" s="269" t="str">
        <f t="shared" si="14"/>
        <v>-</v>
      </c>
      <c r="L35" s="268"/>
      <c r="M35" s="268"/>
    </row>
    <row r="36" spans="1:13">
      <c r="A36" s="168">
        <v>30</v>
      </c>
      <c r="B36" s="270">
        <f t="shared" si="8"/>
        <v>45</v>
      </c>
      <c r="C36" s="270">
        <f t="shared" si="9"/>
        <v>80</v>
      </c>
      <c r="D36" s="270" t="str">
        <f t="shared" si="10"/>
        <v>-</v>
      </c>
      <c r="E36" s="270">
        <f t="shared" si="11"/>
        <v>5.8874231726436115</v>
      </c>
      <c r="F36" s="270" t="s">
        <v>388</v>
      </c>
      <c r="G36" s="269">
        <f t="shared" si="6"/>
        <v>77.79277843521426</v>
      </c>
      <c r="H36" s="269" t="str">
        <f t="shared" si="13"/>
        <v>-</v>
      </c>
      <c r="I36" s="269" t="str">
        <f t="shared" si="7"/>
        <v>-</v>
      </c>
      <c r="J36" s="269"/>
      <c r="K36" s="269" t="str">
        <f t="shared" si="14"/>
        <v>-</v>
      </c>
      <c r="L36" s="268"/>
      <c r="M36" s="268"/>
    </row>
    <row r="37" spans="1:13">
      <c r="A37" s="168">
        <v>31</v>
      </c>
      <c r="B37" s="270" t="str">
        <f t="shared" si="8"/>
        <v>-</v>
      </c>
      <c r="C37" s="270" t="str">
        <f t="shared" si="9"/>
        <v>-</v>
      </c>
      <c r="D37" s="270" t="str">
        <f t="shared" si="10"/>
        <v>-</v>
      </c>
      <c r="E37" s="270" t="str">
        <f t="shared" si="11"/>
        <v>-</v>
      </c>
      <c r="F37" s="270">
        <f t="shared" si="12"/>
        <v>83.95</v>
      </c>
      <c r="G37" s="269" t="str">
        <f t="shared" si="6"/>
        <v>-</v>
      </c>
      <c r="H37" s="269" t="str">
        <f t="shared" si="13"/>
        <v>-</v>
      </c>
      <c r="I37" s="269" t="str">
        <f t="shared" si="7"/>
        <v>-</v>
      </c>
      <c r="J37" s="269"/>
      <c r="K37" s="269" t="str">
        <f t="shared" si="14"/>
        <v>-</v>
      </c>
      <c r="L37" s="268"/>
      <c r="M37" s="268"/>
    </row>
    <row r="38" spans="1:13">
      <c r="A38" s="168">
        <v>32</v>
      </c>
      <c r="B38" s="270" t="str">
        <f t="shared" si="8"/>
        <v>-</v>
      </c>
      <c r="C38" s="270" t="str">
        <f t="shared" si="9"/>
        <v>-</v>
      </c>
      <c r="D38" s="270" t="str">
        <f t="shared" si="10"/>
        <v>-</v>
      </c>
      <c r="E38" s="270" t="str">
        <f t="shared" si="11"/>
        <v>-</v>
      </c>
      <c r="F38" s="270" t="str">
        <f t="shared" si="12"/>
        <v>-</v>
      </c>
      <c r="G38" s="269" t="str">
        <f t="shared" si="6"/>
        <v>-</v>
      </c>
      <c r="H38" s="269">
        <f t="shared" si="13"/>
        <v>25.719842063821208</v>
      </c>
      <c r="I38" s="269" t="str">
        <f t="shared" si="7"/>
        <v>-</v>
      </c>
      <c r="J38" s="269"/>
      <c r="K38" s="269">
        <f t="shared" si="14"/>
        <v>21.02</v>
      </c>
      <c r="L38" s="268"/>
      <c r="M38" s="268"/>
    </row>
    <row r="39" spans="1:13">
      <c r="A39" s="168">
        <v>33</v>
      </c>
      <c r="B39" s="270" t="str">
        <f t="shared" si="8"/>
        <v>-</v>
      </c>
      <c r="C39" s="270" t="str">
        <f t="shared" si="9"/>
        <v>-</v>
      </c>
      <c r="D39" s="270">
        <f t="shared" si="10"/>
        <v>47.4251</v>
      </c>
      <c r="E39" s="270" t="str">
        <f t="shared" si="11"/>
        <v>-</v>
      </c>
      <c r="F39" s="270" t="str">
        <f t="shared" si="12"/>
        <v>-</v>
      </c>
      <c r="G39" s="269" t="str">
        <f t="shared" si="6"/>
        <v>-</v>
      </c>
      <c r="H39" s="269" t="str">
        <f t="shared" si="13"/>
        <v>-</v>
      </c>
      <c r="I39" s="269" t="str">
        <f t="shared" si="7"/>
        <v>-</v>
      </c>
      <c r="J39" s="269"/>
      <c r="K39" s="269" t="str">
        <f t="shared" si="14"/>
        <v>-</v>
      </c>
      <c r="L39" s="268"/>
      <c r="M39" s="268"/>
    </row>
    <row r="40" spans="1:13">
      <c r="A40" s="168">
        <v>35</v>
      </c>
      <c r="B40" s="270">
        <f t="shared" si="8"/>
        <v>130.09</v>
      </c>
      <c r="C40" s="270">
        <f t="shared" si="9"/>
        <v>120</v>
      </c>
      <c r="D40" s="270" t="str">
        <f t="shared" si="10"/>
        <v>-</v>
      </c>
      <c r="E40" s="270" t="str">
        <f t="shared" si="11"/>
        <v>-</v>
      </c>
      <c r="F40" s="270" t="s">
        <v>388</v>
      </c>
      <c r="G40" s="269">
        <f t="shared" si="6"/>
        <v>105.88461509237493</v>
      </c>
      <c r="H40" s="269" t="str">
        <f t="shared" si="13"/>
        <v>-</v>
      </c>
      <c r="I40" s="269" t="str">
        <f t="shared" si="7"/>
        <v>-</v>
      </c>
      <c r="J40" s="269"/>
      <c r="K40" s="269" t="str">
        <f t="shared" si="14"/>
        <v>-</v>
      </c>
      <c r="L40" s="268"/>
      <c r="M40" s="268"/>
    </row>
    <row r="41" spans="1:13">
      <c r="A41" s="168">
        <v>37</v>
      </c>
      <c r="B41" s="270" t="str">
        <f t="shared" si="8"/>
        <v>-</v>
      </c>
      <c r="C41" s="270" t="str">
        <f t="shared" si="9"/>
        <v>-</v>
      </c>
      <c r="D41" s="270" t="str">
        <f t="shared" si="10"/>
        <v>-</v>
      </c>
      <c r="E41" s="270" t="str">
        <f t="shared" si="11"/>
        <v>-</v>
      </c>
      <c r="F41" s="270" t="str">
        <f t="shared" si="12"/>
        <v>-</v>
      </c>
      <c r="G41" s="269" t="str">
        <f t="shared" si="6"/>
        <v>-</v>
      </c>
      <c r="H41" s="269">
        <f t="shared" si="13"/>
        <v>34.385218540401596</v>
      </c>
      <c r="I41" s="269" t="str">
        <f t="shared" si="7"/>
        <v>-</v>
      </c>
      <c r="J41" s="269"/>
      <c r="K41" s="269" t="str">
        <f t="shared" si="14"/>
        <v>-</v>
      </c>
      <c r="L41" s="268"/>
      <c r="M41" s="268"/>
    </row>
    <row r="42" spans="1:13">
      <c r="A42" s="168">
        <v>38</v>
      </c>
      <c r="B42" s="270" t="str">
        <f t="shared" si="8"/>
        <v>-</v>
      </c>
      <c r="C42" s="270" t="str">
        <f t="shared" si="9"/>
        <v>-</v>
      </c>
      <c r="D42" s="270">
        <f t="shared" si="10"/>
        <v>50.938099999999999</v>
      </c>
      <c r="E42" s="270" t="str">
        <f t="shared" si="11"/>
        <v>-</v>
      </c>
      <c r="F42" s="270" t="s">
        <v>388</v>
      </c>
      <c r="G42" s="269" t="str">
        <f t="shared" si="6"/>
        <v>-</v>
      </c>
      <c r="H42" s="269" t="str">
        <f t="shared" si="13"/>
        <v>-</v>
      </c>
      <c r="I42" s="269" t="str">
        <f t="shared" si="7"/>
        <v>-</v>
      </c>
      <c r="J42" s="269"/>
      <c r="K42" s="269">
        <f t="shared" si="14"/>
        <v>23.94</v>
      </c>
      <c r="L42" s="268"/>
      <c r="M42" s="268"/>
    </row>
    <row r="43" spans="1:13">
      <c r="A43" s="168">
        <v>40</v>
      </c>
      <c r="B43" s="270">
        <f t="shared" si="8"/>
        <v>141.91999999999999</v>
      </c>
      <c r="C43" s="270">
        <f t="shared" si="9"/>
        <v>120</v>
      </c>
      <c r="D43" s="270" t="str">
        <f t="shared" si="10"/>
        <v>-</v>
      </c>
      <c r="E43" s="270">
        <f t="shared" si="11"/>
        <v>10.466530084699755</v>
      </c>
      <c r="F43" s="270">
        <f t="shared" si="12"/>
        <v>108.25</v>
      </c>
      <c r="G43" s="269">
        <f t="shared" si="6"/>
        <v>138.29827277371425</v>
      </c>
      <c r="H43" s="269" t="str">
        <f t="shared" si="13"/>
        <v>-</v>
      </c>
      <c r="I43" s="269">
        <f t="shared" si="7"/>
        <v>120.22539563192734</v>
      </c>
      <c r="J43" s="269"/>
      <c r="K43" s="269" t="str">
        <f t="shared" si="14"/>
        <v>-</v>
      </c>
      <c r="L43" s="268"/>
      <c r="M43" s="268"/>
    </row>
    <row r="44" spans="1:13">
      <c r="A44" s="168">
        <v>41</v>
      </c>
      <c r="B44" s="270" t="str">
        <f t="shared" si="8"/>
        <v>-</v>
      </c>
      <c r="C44" s="270" t="str">
        <f t="shared" si="9"/>
        <v>-</v>
      </c>
      <c r="D44" s="270" t="str">
        <f t="shared" si="10"/>
        <v>-</v>
      </c>
      <c r="E44" s="270" t="str">
        <f t="shared" si="11"/>
        <v>-</v>
      </c>
      <c r="F44" s="270" t="str">
        <f t="shared" si="12"/>
        <v>-</v>
      </c>
      <c r="G44" s="269" t="str">
        <f t="shared" si="6"/>
        <v>-</v>
      </c>
      <c r="H44" s="269" t="str">
        <f t="shared" si="13"/>
        <v>-</v>
      </c>
      <c r="I44" s="269" t="str">
        <f t="shared" si="7"/>
        <v>-</v>
      </c>
      <c r="J44" s="269"/>
      <c r="K44" s="269" t="str">
        <f t="shared" si="14"/>
        <v>-</v>
      </c>
      <c r="L44" s="268"/>
      <c r="M44" s="268"/>
    </row>
    <row r="45" spans="1:13">
      <c r="A45" s="168">
        <v>42</v>
      </c>
      <c r="B45" s="270" t="str">
        <f t="shared" si="8"/>
        <v>-</v>
      </c>
      <c r="C45" s="270" t="str">
        <f t="shared" si="9"/>
        <v>-</v>
      </c>
      <c r="D45" s="270">
        <f t="shared" si="10"/>
        <v>56.135899999999999</v>
      </c>
      <c r="E45" s="270" t="str">
        <f t="shared" si="11"/>
        <v>-</v>
      </c>
      <c r="F45" s="270" t="str">
        <f t="shared" si="12"/>
        <v>-</v>
      </c>
      <c r="G45" s="269" t="str">
        <f t="shared" si="6"/>
        <v>-</v>
      </c>
      <c r="H45" s="269">
        <f t="shared" si="13"/>
        <v>44.306446680254496</v>
      </c>
      <c r="I45" s="269" t="str">
        <f t="shared" si="7"/>
        <v>-</v>
      </c>
      <c r="J45" s="269"/>
      <c r="K45" s="269">
        <f t="shared" si="14"/>
        <v>25.984999999999999</v>
      </c>
      <c r="L45" s="268"/>
      <c r="M45" s="268"/>
    </row>
    <row r="46" spans="1:13">
      <c r="A46" s="168">
        <v>45</v>
      </c>
      <c r="B46" s="270">
        <f t="shared" si="8"/>
        <v>156.11000000000001</v>
      </c>
      <c r="C46" s="270" t="str">
        <f t="shared" si="9"/>
        <v>-</v>
      </c>
      <c r="D46" s="270" t="str">
        <f t="shared" si="10"/>
        <v>-</v>
      </c>
      <c r="E46" s="270" t="str">
        <f t="shared" si="11"/>
        <v>-</v>
      </c>
      <c r="F46" s="270" t="str">
        <f t="shared" si="12"/>
        <v>-</v>
      </c>
      <c r="G46" s="269" t="str">
        <f t="shared" si="6"/>
        <v>-</v>
      </c>
      <c r="H46" s="269" t="str">
        <f t="shared" si="13"/>
        <v>-</v>
      </c>
      <c r="I46" s="269" t="str">
        <f t="shared" si="7"/>
        <v>-</v>
      </c>
      <c r="J46" s="269"/>
      <c r="K46" s="269">
        <f t="shared" si="14"/>
        <v>28.03</v>
      </c>
      <c r="L46" s="268"/>
      <c r="M46" s="268"/>
    </row>
    <row r="47" spans="1:13">
      <c r="A47" s="168">
        <v>47</v>
      </c>
      <c r="B47" s="270" t="str">
        <f t="shared" si="8"/>
        <v>-</v>
      </c>
      <c r="C47" s="270" t="str">
        <f t="shared" si="9"/>
        <v>-</v>
      </c>
      <c r="D47" s="270" t="str">
        <f t="shared" si="10"/>
        <v>-</v>
      </c>
      <c r="E47" s="270" t="str">
        <f t="shared" si="11"/>
        <v>-</v>
      </c>
      <c r="F47" s="270" t="str">
        <f t="shared" si="12"/>
        <v>-</v>
      </c>
      <c r="G47" s="269" t="str">
        <f t="shared" si="6"/>
        <v>-</v>
      </c>
      <c r="H47" s="269">
        <f t="shared" si="13"/>
        <v>55.483526483379919</v>
      </c>
      <c r="I47" s="269" t="str">
        <f t="shared" si="7"/>
        <v>-</v>
      </c>
      <c r="J47" s="269"/>
      <c r="K47" s="269" t="str">
        <f t="shared" si="14"/>
        <v>-</v>
      </c>
      <c r="L47" s="268"/>
      <c r="M47" s="268"/>
    </row>
    <row r="48" spans="1:13">
      <c r="A48" s="168">
        <v>50</v>
      </c>
      <c r="B48" s="270" t="str">
        <f t="shared" si="8"/>
        <v>-</v>
      </c>
      <c r="C48" s="270" t="str">
        <f t="shared" si="9"/>
        <v>-</v>
      </c>
      <c r="D48" s="270">
        <f t="shared" si="10"/>
        <v>150</v>
      </c>
      <c r="E48" s="270">
        <f t="shared" si="11"/>
        <v>16.353953257343367</v>
      </c>
      <c r="F48" s="270" t="str">
        <f t="shared" si="12"/>
        <v>-</v>
      </c>
      <c r="G48" s="269">
        <f t="shared" si="6"/>
        <v>216.09105120892846</v>
      </c>
      <c r="H48" s="269" t="str">
        <f t="shared" si="13"/>
        <v>-</v>
      </c>
      <c r="I48" s="269">
        <f t="shared" si="7"/>
        <v>187.85218067488648</v>
      </c>
      <c r="J48" s="269"/>
      <c r="K48" s="269" t="str">
        <f t="shared" si="14"/>
        <v>-</v>
      </c>
      <c r="L48" s="268"/>
      <c r="M48" s="268"/>
    </row>
    <row r="49" spans="1:13">
      <c r="A49" s="168">
        <v>52</v>
      </c>
      <c r="B49" s="270">
        <f t="shared" si="8"/>
        <v>181.52</v>
      </c>
      <c r="C49" s="270" t="str">
        <f t="shared" si="9"/>
        <v>-</v>
      </c>
      <c r="D49" s="270" t="str">
        <f t="shared" si="10"/>
        <v>-</v>
      </c>
      <c r="E49" s="270" t="str">
        <f t="shared" si="11"/>
        <v>-</v>
      </c>
      <c r="F49" s="270" t="str">
        <f t="shared" si="12"/>
        <v>-</v>
      </c>
      <c r="G49" s="269" t="str">
        <f t="shared" si="6"/>
        <v>-</v>
      </c>
      <c r="H49" s="269" t="str">
        <f t="shared" si="13"/>
        <v>-</v>
      </c>
      <c r="I49" s="269" t="str">
        <f t="shared" si="7"/>
        <v>-</v>
      </c>
      <c r="J49" s="269"/>
      <c r="K49" s="269" t="str">
        <f t="shared" si="14"/>
        <v>-</v>
      </c>
      <c r="L49" s="268"/>
      <c r="M49" s="268"/>
    </row>
    <row r="50" spans="1:13">
      <c r="A50" s="168">
        <v>60</v>
      </c>
      <c r="B50" s="270">
        <f t="shared" si="8"/>
        <v>223.01</v>
      </c>
      <c r="C50" s="270" t="str">
        <f t="shared" si="9"/>
        <v>-</v>
      </c>
      <c r="D50" s="270">
        <f t="shared" si="10"/>
        <v>150</v>
      </c>
      <c r="E50" s="270">
        <f t="shared" si="11"/>
        <v>23.549692690574446</v>
      </c>
      <c r="F50" s="270" t="str">
        <f t="shared" si="12"/>
        <v>-</v>
      </c>
      <c r="G50" s="269">
        <f t="shared" si="6"/>
        <v>311.17111374085704</v>
      </c>
      <c r="H50" s="269" t="str">
        <f t="shared" si="13"/>
        <v>-</v>
      </c>
      <c r="I50" s="269">
        <f t="shared" si="7"/>
        <v>270.50714017183657</v>
      </c>
      <c r="J50" s="269"/>
      <c r="K50" s="269" t="str">
        <f t="shared" si="14"/>
        <v>-</v>
      </c>
      <c r="L50" s="268"/>
      <c r="M50" s="268"/>
    </row>
    <row r="51" spans="1:13">
      <c r="A51" s="168">
        <v>70</v>
      </c>
      <c r="B51" s="270">
        <f t="shared" si="8"/>
        <v>312.22000000000003</v>
      </c>
      <c r="C51" s="270" t="str">
        <f t="shared" si="9"/>
        <v>-</v>
      </c>
      <c r="D51" s="270" t="str">
        <f t="shared" si="10"/>
        <v>-</v>
      </c>
      <c r="E51" s="270">
        <f t="shared" si="11"/>
        <v>32.053748384392996</v>
      </c>
      <c r="F51" s="270" t="str">
        <f t="shared" si="12"/>
        <v>-</v>
      </c>
      <c r="G51" s="269">
        <f t="shared" si="6"/>
        <v>423.53846036949972</v>
      </c>
      <c r="H51" s="269" t="str">
        <f t="shared" si="13"/>
        <v>-</v>
      </c>
      <c r="I51" s="269">
        <f t="shared" si="7"/>
        <v>368.19027412277751</v>
      </c>
      <c r="J51" s="269"/>
      <c r="K51" s="269" t="str">
        <f t="shared" si="14"/>
        <v>-</v>
      </c>
      <c r="L51" s="268"/>
      <c r="M51" s="268"/>
    </row>
    <row r="52" spans="1:13">
      <c r="A52" s="168">
        <v>80</v>
      </c>
      <c r="B52" s="270" t="str">
        <f t="shared" si="8"/>
        <v>-</v>
      </c>
      <c r="C52" s="270" t="str">
        <f t="shared" si="9"/>
        <v>-</v>
      </c>
      <c r="D52" s="270" t="str">
        <f t="shared" si="10"/>
        <v>-</v>
      </c>
      <c r="E52" s="270">
        <f t="shared" si="11"/>
        <v>41.866120338799021</v>
      </c>
      <c r="F52" s="270" t="str">
        <f t="shared" si="12"/>
        <v>-</v>
      </c>
      <c r="G52" s="269">
        <f t="shared" si="6"/>
        <v>553.19309109485698</v>
      </c>
      <c r="H52" s="269" t="str">
        <f t="shared" si="13"/>
        <v>-</v>
      </c>
      <c r="I52" s="269">
        <f t="shared" si="7"/>
        <v>480.90158252770937</v>
      </c>
      <c r="J52" s="269"/>
      <c r="K52" s="269" t="str">
        <f t="shared" si="14"/>
        <v>-</v>
      </c>
      <c r="L52" s="268"/>
      <c r="M52" s="268"/>
    </row>
    <row r="53" spans="1:13">
      <c r="A53" s="168">
        <v>90</v>
      </c>
      <c r="B53" s="270" t="str">
        <f t="shared" si="8"/>
        <v>-</v>
      </c>
      <c r="C53" s="270" t="str">
        <f t="shared" si="9"/>
        <v>-</v>
      </c>
      <c r="D53" s="270" t="str">
        <f t="shared" si="10"/>
        <v>-</v>
      </c>
      <c r="E53" s="270">
        <f t="shared" si="11"/>
        <v>52.986808553792514</v>
      </c>
      <c r="F53" s="270" t="str">
        <f t="shared" si="12"/>
        <v>-</v>
      </c>
      <c r="G53" s="269">
        <f t="shared" si="6"/>
        <v>700.13500591692843</v>
      </c>
      <c r="H53" s="269" t="str">
        <f t="shared" si="13"/>
        <v>-</v>
      </c>
      <c r="I53" s="269">
        <f t="shared" si="7"/>
        <v>608.64106538663214</v>
      </c>
      <c r="J53" s="269"/>
      <c r="K53" s="269" t="str">
        <f t="shared" si="14"/>
        <v>-</v>
      </c>
      <c r="L53" s="268"/>
      <c r="M53" s="268"/>
    </row>
    <row r="54" spans="1:13">
      <c r="A54" s="168">
        <v>100</v>
      </c>
      <c r="B54" s="270" t="str">
        <f t="shared" si="8"/>
        <v>-</v>
      </c>
      <c r="C54" s="270" t="str">
        <f t="shared" si="9"/>
        <v>-</v>
      </c>
      <c r="D54" s="270" t="str">
        <f t="shared" si="10"/>
        <v>-</v>
      </c>
      <c r="E54" s="270">
        <f t="shared" si="11"/>
        <v>65.415813029373467</v>
      </c>
      <c r="F54" s="270" t="str">
        <f t="shared" si="12"/>
        <v>-</v>
      </c>
      <c r="G54" s="269">
        <f t="shared" si="6"/>
        <v>864.36420483571385</v>
      </c>
      <c r="H54" s="269" t="str">
        <f t="shared" si="13"/>
        <v>-</v>
      </c>
      <c r="I54" s="269">
        <f t="shared" si="7"/>
        <v>751.40872269954593</v>
      </c>
      <c r="J54" s="269"/>
      <c r="K54" s="269" t="str">
        <f t="shared" si="14"/>
        <v>-</v>
      </c>
      <c r="L54" s="268"/>
      <c r="M54" s="268"/>
    </row>
    <row r="55" spans="1:13">
      <c r="A55" s="168">
        <v>110</v>
      </c>
      <c r="B55" s="270" t="str">
        <f t="shared" si="8"/>
        <v>-</v>
      </c>
      <c r="C55" s="270" t="str">
        <f t="shared" si="9"/>
        <v>-</v>
      </c>
      <c r="D55" s="270" t="str">
        <f t="shared" si="10"/>
        <v>-</v>
      </c>
      <c r="E55" s="270">
        <f t="shared" si="11"/>
        <v>79.153133765541895</v>
      </c>
      <c r="F55" s="270" t="str">
        <f t="shared" si="12"/>
        <v>-</v>
      </c>
      <c r="G55" s="269" t="str">
        <f t="shared" si="6"/>
        <v>-</v>
      </c>
      <c r="H55" s="269" t="str">
        <f t="shared" si="13"/>
        <v>-</v>
      </c>
      <c r="I55" s="269">
        <f t="shared" si="7"/>
        <v>909.20455446645053</v>
      </c>
      <c r="J55" s="269"/>
      <c r="K55" s="269" t="str">
        <f t="shared" si="14"/>
        <v>-</v>
      </c>
      <c r="L55" s="268"/>
      <c r="M55" s="268"/>
    </row>
    <row r="56" spans="1:13">
      <c r="A56" s="168">
        <v>120</v>
      </c>
      <c r="B56" s="270" t="str">
        <f t="shared" si="8"/>
        <v>-</v>
      </c>
      <c r="C56" s="270" t="str">
        <f t="shared" si="9"/>
        <v>-</v>
      </c>
      <c r="D56" s="270" t="str">
        <f t="shared" si="10"/>
        <v>-</v>
      </c>
      <c r="E56" s="270">
        <f t="shared" si="11"/>
        <v>94.198770762297784</v>
      </c>
      <c r="F56" s="270" t="str">
        <f t="shared" si="12"/>
        <v>-</v>
      </c>
      <c r="G56" s="269" t="str">
        <f t="shared" si="6"/>
        <v>-</v>
      </c>
      <c r="H56" s="269" t="str">
        <f t="shared" si="13"/>
        <v>-</v>
      </c>
      <c r="I56" s="269">
        <f t="shared" si="7"/>
        <v>1082.0285606873463</v>
      </c>
      <c r="J56" s="269"/>
      <c r="K56" s="269" t="str">
        <f t="shared" si="14"/>
        <v>-</v>
      </c>
      <c r="L56" s="268"/>
      <c r="M56" s="268"/>
    </row>
    <row r="57" spans="1:13">
      <c r="A57" s="168">
        <v>130</v>
      </c>
      <c r="B57" s="270" t="str">
        <f t="shared" si="8"/>
        <v>-</v>
      </c>
      <c r="C57" s="270" t="str">
        <f t="shared" si="9"/>
        <v>-</v>
      </c>
      <c r="D57" s="270" t="str">
        <f t="shared" si="10"/>
        <v>-</v>
      </c>
      <c r="E57" s="270">
        <f t="shared" si="11"/>
        <v>110.55272401964118</v>
      </c>
      <c r="F57" s="270" t="str">
        <f t="shared" si="12"/>
        <v>-</v>
      </c>
      <c r="G57" s="269" t="str">
        <f t="shared" si="6"/>
        <v>-</v>
      </c>
      <c r="H57" s="269" t="str">
        <f t="shared" si="13"/>
        <v>-</v>
      </c>
      <c r="I57" s="269">
        <f t="shared" si="7"/>
        <v>1269.8807413622328</v>
      </c>
      <c r="J57" s="269"/>
      <c r="K57" s="269" t="str">
        <f t="shared" si="14"/>
        <v>-</v>
      </c>
      <c r="L57" s="268"/>
      <c r="M57" s="268"/>
    </row>
    <row r="58" spans="1:13">
      <c r="A58" s="168">
        <v>140</v>
      </c>
      <c r="B58" s="270" t="str">
        <f t="shared" si="8"/>
        <v>-</v>
      </c>
      <c r="C58" s="270" t="str">
        <f t="shared" si="9"/>
        <v>-</v>
      </c>
      <c r="D58" s="270" t="str">
        <f t="shared" si="10"/>
        <v>-</v>
      </c>
      <c r="E58" s="270">
        <f t="shared" si="11"/>
        <v>128.21499353757198</v>
      </c>
      <c r="F58" s="270" t="str">
        <f t="shared" si="12"/>
        <v>-</v>
      </c>
      <c r="G58" s="269" t="str">
        <f t="shared" si="6"/>
        <v>-</v>
      </c>
      <c r="H58" s="269" t="str">
        <f t="shared" si="13"/>
        <v>-</v>
      </c>
      <c r="I58" s="269">
        <f t="shared" si="7"/>
        <v>1472.76109649111</v>
      </c>
      <c r="J58" s="269"/>
      <c r="K58" s="269" t="str">
        <f t="shared" si="14"/>
        <v>-</v>
      </c>
      <c r="L58" s="268"/>
      <c r="M58" s="268"/>
    </row>
    <row r="59" spans="1:13">
      <c r="A59" s="168">
        <v>150</v>
      </c>
      <c r="B59" s="270" t="str">
        <f t="shared" si="8"/>
        <v>-</v>
      </c>
      <c r="C59" s="270" t="str">
        <f t="shared" si="9"/>
        <v>-</v>
      </c>
      <c r="D59" s="270" t="str">
        <f t="shared" si="10"/>
        <v>-</v>
      </c>
      <c r="E59" s="270" t="str">
        <f t="shared" si="11"/>
        <v>-</v>
      </c>
      <c r="F59" s="270" t="str">
        <f t="shared" si="12"/>
        <v>-</v>
      </c>
      <c r="G59" s="269" t="str">
        <f t="shared" si="6"/>
        <v>-</v>
      </c>
      <c r="H59" s="269" t="str">
        <f t="shared" si="13"/>
        <v>-</v>
      </c>
      <c r="I59" s="269">
        <f t="shared" si="7"/>
        <v>1690.6696260739784</v>
      </c>
      <c r="J59" s="269"/>
      <c r="K59" s="269" t="str">
        <f t="shared" si="14"/>
        <v>-</v>
      </c>
      <c r="L59" s="268"/>
      <c r="M59" s="268"/>
    </row>
    <row r="60" spans="1:13">
      <c r="A60" s="168">
        <v>160</v>
      </c>
      <c r="B60" s="270" t="str">
        <f t="shared" si="8"/>
        <v>-</v>
      </c>
      <c r="C60" s="270" t="str">
        <f t="shared" si="9"/>
        <v>-</v>
      </c>
      <c r="D60" s="270" t="str">
        <f t="shared" si="10"/>
        <v>-</v>
      </c>
      <c r="E60" s="270" t="str">
        <f t="shared" si="11"/>
        <v>-</v>
      </c>
      <c r="F60" s="270" t="str">
        <f t="shared" si="12"/>
        <v>-</v>
      </c>
      <c r="G60" s="269" t="str">
        <f t="shared" si="6"/>
        <v>-</v>
      </c>
      <c r="H60" s="269" t="str">
        <f t="shared" si="13"/>
        <v>-</v>
      </c>
      <c r="I60" s="269">
        <f t="shared" si="7"/>
        <v>1923.6063301108375</v>
      </c>
      <c r="J60" s="271"/>
      <c r="K60" s="269" t="str">
        <f t="shared" si="14"/>
        <v>-</v>
      </c>
      <c r="L60" s="268"/>
      <c r="M60" s="268"/>
    </row>
    <row r="61" spans="1:13" ht="15.75" thickBot="1">
      <c r="A61" s="166">
        <v>170</v>
      </c>
      <c r="B61" s="310" t="str">
        <f t="shared" si="8"/>
        <v>-</v>
      </c>
      <c r="C61" s="310" t="str">
        <f t="shared" si="9"/>
        <v>-</v>
      </c>
      <c r="D61" s="310" t="str">
        <f t="shared" si="10"/>
        <v>-</v>
      </c>
      <c r="E61" s="310" t="str">
        <f t="shared" si="11"/>
        <v>-</v>
      </c>
      <c r="F61" s="310" t="str">
        <f t="shared" si="12"/>
        <v>-</v>
      </c>
      <c r="G61" s="310" t="str">
        <f t="shared" si="6"/>
        <v>-</v>
      </c>
      <c r="H61" s="310" t="str">
        <f t="shared" si="13"/>
        <v>-</v>
      </c>
      <c r="I61" s="310">
        <f t="shared" si="7"/>
        <v>2171.5712086016879</v>
      </c>
      <c r="J61" s="311"/>
      <c r="K61" s="310" t="str">
        <f t="shared" si="14"/>
        <v>-</v>
      </c>
      <c r="L61" s="268"/>
      <c r="M61" s="268"/>
    </row>
    <row r="62" spans="1:13">
      <c r="A62" s="2"/>
    </row>
    <row r="63" spans="1:13">
      <c r="A63" s="2"/>
    </row>
    <row r="64" spans="1:13">
      <c r="A64" s="2"/>
    </row>
    <row r="65" spans="1:1">
      <c r="A65" s="2"/>
    </row>
    <row r="66" spans="1:1">
      <c r="A66" s="2"/>
    </row>
    <row r="67" spans="1:1">
      <c r="A67" s="2"/>
    </row>
    <row r="68" spans="1:1">
      <c r="A68" s="2"/>
    </row>
    <row r="69" spans="1:1">
      <c r="A69" s="2"/>
    </row>
    <row r="70" spans="1:1">
      <c r="A70" s="2"/>
    </row>
    <row r="71" spans="1:1">
      <c r="A71" s="2"/>
    </row>
    <row r="72" spans="1:1">
      <c r="A72" s="2"/>
    </row>
    <row r="73" spans="1:1">
      <c r="A73" s="2"/>
    </row>
    <row r="74" spans="1:1">
      <c r="A74" s="2"/>
    </row>
    <row r="75" spans="1:1">
      <c r="A75" s="2"/>
    </row>
    <row r="76" spans="1:1">
      <c r="A76" s="2"/>
    </row>
    <row r="77" spans="1:1">
      <c r="A77" s="2"/>
    </row>
    <row r="78" spans="1:1">
      <c r="A78" s="2"/>
    </row>
    <row r="79" spans="1:1">
      <c r="A79" s="2"/>
    </row>
    <row r="80" spans="1:1">
      <c r="A80" s="2"/>
    </row>
    <row r="81" spans="1:1">
      <c r="A81" s="2"/>
    </row>
    <row r="82" spans="1:1">
      <c r="A82" s="2"/>
    </row>
    <row r="83" spans="1:1">
      <c r="A83" s="2"/>
    </row>
  </sheetData>
  <sheetProtection sheet="1" objects="1" scenarios="1"/>
  <sortState xmlns:xlrd2="http://schemas.microsoft.com/office/spreadsheetml/2017/richdata2" ref="A21:A78">
    <sortCondition ref="A78"/>
  </sortState>
  <mergeCells count="19">
    <mergeCell ref="AC1:AN1"/>
    <mergeCell ref="T1:AA1"/>
    <mergeCell ref="AC2:AD2"/>
    <mergeCell ref="AJ2:AK2"/>
    <mergeCell ref="AM2:AN2"/>
    <mergeCell ref="T2:U2"/>
    <mergeCell ref="W2:X2"/>
    <mergeCell ref="Z2:AA2"/>
    <mergeCell ref="A19:K19"/>
    <mergeCell ref="I2:J2"/>
    <mergeCell ref="M2:N2"/>
    <mergeCell ref="Q2:R2"/>
    <mergeCell ref="A1:R1"/>
    <mergeCell ref="A2:B2"/>
    <mergeCell ref="C2:D2"/>
    <mergeCell ref="E2:F2"/>
    <mergeCell ref="G2:H2"/>
    <mergeCell ref="K2:L2"/>
    <mergeCell ref="O2:P2"/>
  </mergeCells>
  <pageMargins left="0.511811024" right="0.511811024" top="0.78740157499999996" bottom="0.78740157499999996" header="0.31496062000000002" footer="0.31496062000000002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6</vt:i4>
      </vt:variant>
      <vt:variant>
        <vt:lpstr>Intervalos Nomeados</vt:lpstr>
      </vt:variant>
      <vt:variant>
        <vt:i4>2</vt:i4>
      </vt:variant>
    </vt:vector>
  </HeadingPairs>
  <TitlesOfParts>
    <vt:vector size="8" baseType="lpstr">
      <vt:lpstr>CAPA</vt:lpstr>
      <vt:lpstr>MEMORIAL</vt:lpstr>
      <vt:lpstr>CALCULO</vt:lpstr>
      <vt:lpstr>RECALQUE</vt:lpstr>
      <vt:lpstr>Compatibilidade</vt:lpstr>
      <vt:lpstr>Tabelas TCC</vt:lpstr>
      <vt:lpstr>CAPA!Area_de_impressao</vt:lpstr>
      <vt:lpstr>MEMORIAL!Area_de_impressao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GARCIA</dc:creator>
  <cp:lastModifiedBy>felipe gonçalves</cp:lastModifiedBy>
  <cp:lastPrinted>2026-02-26T12:46:16Z</cp:lastPrinted>
  <dcterms:created xsi:type="dcterms:W3CDTF">2014-07-06T00:45:32Z</dcterms:created>
  <dcterms:modified xsi:type="dcterms:W3CDTF">2026-05-10T15:12:17Z</dcterms:modified>
</cp:coreProperties>
</file>